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vryabov/Desktop/SE/Офис/"/>
    </mc:Choice>
  </mc:AlternateContent>
  <xr:revisionPtr revIDLastSave="0" documentId="13_ncr:1_{7D538A59-C2AA-DD43-B116-E9E13A3C80F4}" xr6:coauthVersionLast="47" xr6:coauthVersionMax="47" xr10:uidLastSave="{00000000-0000-0000-0000-000000000000}"/>
  <bookViews>
    <workbookView xWindow="4300" yWindow="780" windowWidth="29900" windowHeight="19780" xr2:uid="{00000000-000D-0000-FFFF-FFFF00000000}"/>
  </bookViews>
  <sheets>
    <sheet name="Калькулятор инвестора" sheetId="5" r:id="rId1"/>
    <sheet name="Модель" sheetId="2" r:id="rId2"/>
    <sheet name="Sheet2" sheetId="4" state="hidden" r:id="rId3"/>
    <sheet name="Sheet1" sheetId="3" state="hidden" r:id="rId4"/>
  </sheets>
  <definedNames>
    <definedName name="___________AD900001">#REF!</definedName>
    <definedName name="___________AD90001">#REF!</definedName>
    <definedName name="___________B900001">#REF!</definedName>
    <definedName name="___________B90001">#REF!</definedName>
    <definedName name="__________AD900001">#REF!</definedName>
    <definedName name="__________AD90001">#REF!</definedName>
    <definedName name="__________B900001">#REF!</definedName>
    <definedName name="__________B90001">#REF!</definedName>
    <definedName name="_________AD900001">#REF!</definedName>
    <definedName name="_________AD90001">#REF!</definedName>
    <definedName name="_________B900001">#REF!</definedName>
    <definedName name="_________B90001">#REF!</definedName>
    <definedName name="________AD900001">#REF!</definedName>
    <definedName name="________AD90001">#REF!</definedName>
    <definedName name="________B900001">#REF!</definedName>
    <definedName name="________B90001">#REF!</definedName>
    <definedName name="_______AD900001">#REF!</definedName>
    <definedName name="_______AD90001">#REF!</definedName>
    <definedName name="_______B900001">#REF!</definedName>
    <definedName name="_______B90001">#REF!</definedName>
    <definedName name="______AD900001">#REF!</definedName>
    <definedName name="______AD90001">#REF!</definedName>
    <definedName name="______B900001">#REF!</definedName>
    <definedName name="______B90001">#REF!</definedName>
    <definedName name="_____AD900001">#REF!</definedName>
    <definedName name="_____AD90001">#REF!</definedName>
    <definedName name="_____B900001">#REF!</definedName>
    <definedName name="_____B90001">#REF!</definedName>
    <definedName name="____AD900001">#REF!</definedName>
    <definedName name="____AD90001">#REF!</definedName>
    <definedName name="____B900001">#REF!</definedName>
    <definedName name="____B90001">#REF!</definedName>
    <definedName name="___AD900001">#REF!</definedName>
    <definedName name="___AD90001">#REF!</definedName>
    <definedName name="___B900001">#REF!</definedName>
    <definedName name="___B90001">#REF!</definedName>
    <definedName name="__AD900001">#REF!</definedName>
    <definedName name="__AD90001">#REF!</definedName>
    <definedName name="__B900001">#REF!</definedName>
    <definedName name="__B90001">#REF!</definedName>
    <definedName name="__DSCR">#REF!</definedName>
    <definedName name="__ESTATE">#REF!</definedName>
    <definedName name="_налог_на_имущество">#REF!</definedName>
    <definedName name="_налог_на_прибыль">#REF!</definedName>
    <definedName name="_ставка_аренды_">#REF!</definedName>
    <definedName name="_AD900001">#REF!</definedName>
    <definedName name="_AD90001">#REF!</definedName>
    <definedName name="_B900001">#REF!</definedName>
    <definedName name="_B90001">#REF!</definedName>
    <definedName name="_di2">#REF!</definedName>
    <definedName name="_j1">#REF!</definedName>
    <definedName name="_Order1" hidden="1">0</definedName>
    <definedName name="_RG1">#REF!</definedName>
    <definedName name="_RG2">#REF!</definedName>
    <definedName name="_RG3">#REF!</definedName>
    <definedName name="_RG4">#REF!</definedName>
    <definedName name="_RG5">#REF!</definedName>
    <definedName name="_RG6">#REF!</definedName>
    <definedName name="авы">#REF!</definedName>
    <definedName name="актуальность_БТИ">#REF!</definedName>
    <definedName name="актуальность_ЕГРП">#REF!</definedName>
    <definedName name="аморт.">#REF!</definedName>
    <definedName name="апартаменты">#REF!</definedName>
    <definedName name="апп">#REF!</definedName>
    <definedName name="ар">#REF!</definedName>
    <definedName name="ар_08">#REF!</definedName>
    <definedName name="ар_09">#REF!</definedName>
    <definedName name="ар_10">#REF!</definedName>
    <definedName name="ар_11">#REF!</definedName>
    <definedName name="ар_12">#REF!</definedName>
    <definedName name="ар_13">#REF!</definedName>
    <definedName name="ар_14">#REF!</definedName>
    <definedName name="ар_15">#REF!</definedName>
    <definedName name="ар_2008">#REF!</definedName>
    <definedName name="ар_2009">#REF!</definedName>
    <definedName name="ар_2010">#REF!</definedName>
    <definedName name="ар_2011">#REF!</definedName>
    <definedName name="ар_2012">#REF!</definedName>
    <definedName name="ар_2013">#REF!</definedName>
    <definedName name="ар_2014">#REF!</definedName>
    <definedName name="ар_2015">#REF!</definedName>
    <definedName name="ар_прощадь">#REF!</definedName>
    <definedName name="ар_ст">#REF!</definedName>
    <definedName name="ар_ставка_офис" localSheetId="0" hidden="1">{"Inflation-BaseYear",#N/A,FALSE,"Inputs"}</definedName>
    <definedName name="ар_ставка_офис" hidden="1">{"Inflation-BaseYear",#N/A,FALSE,"Inputs"}</definedName>
    <definedName name="аренда">#REF!</definedName>
    <definedName name="аренда2">#REF!</definedName>
    <definedName name="Арендопригодная_площадь__кв.м.">#REF!</definedName>
    <definedName name="АрПлата">#REF!</definedName>
    <definedName name="арт">#REF!</definedName>
    <definedName name="ашан">#REF!</definedName>
    <definedName name="ашан2">#REF!</definedName>
    <definedName name="Бал">#REF!</definedName>
    <definedName name="бал_ст">#REF!</definedName>
    <definedName name="баланс_ст">#REF!</definedName>
    <definedName name="баланс_стоим_покупка">#REF!</definedName>
    <definedName name="БалКК">#REF!</definedName>
    <definedName name="Бренд_С">#REF!</definedName>
    <definedName name="Бытовые_помещения_Гипермаркета">#REF!</definedName>
    <definedName name="валют_изм">#REF!</definedName>
    <definedName name="Вид_залога_2">#REF!</definedName>
    <definedName name="вид_обеспечения">#REF!</definedName>
    <definedName name="возм_ндс">#REF!</definedName>
    <definedName name="вп">#REF!</definedName>
    <definedName name="впо">#REF!</definedName>
    <definedName name="время">#REF!</definedName>
    <definedName name="гал_эк">#REF!</definedName>
    <definedName name="гипермаркет">#REF!</definedName>
    <definedName name="год">#REF!</definedName>
    <definedName name="группа">#REF!</definedName>
    <definedName name="группа2">#REF!</definedName>
    <definedName name="д">#REF!</definedName>
    <definedName name="дис">#REF!</definedName>
    <definedName name="дис1">#REF!</definedName>
    <definedName name="дисконт">#REF!</definedName>
    <definedName name="дол">#REF!</definedName>
    <definedName name="дол1">#REF!</definedName>
    <definedName name="долл">#REF!</definedName>
    <definedName name="долл1">#REF!</definedName>
    <definedName name="Доллар">#REF!</definedName>
    <definedName name="дор">#REF!</definedName>
    <definedName name="дос">#REF!</definedName>
    <definedName name="дох">#REF!</definedName>
    <definedName name="е">#REF!</definedName>
    <definedName name="е1">#REF!</definedName>
    <definedName name="Е41">#REF!</definedName>
    <definedName name="евр">#REF!</definedName>
    <definedName name="евро">#REF!</definedName>
    <definedName name="ЕГИ">#REF!</definedName>
    <definedName name="еще">#REF!</definedName>
    <definedName name="Заемные_средсва">#REF!</definedName>
    <definedName name="затраты">#REF!</definedName>
    <definedName name="затраты_на_квадрат">#REF!</definedName>
    <definedName name="Затрнов">#REF!</definedName>
    <definedName name="значимость">#REF!</definedName>
    <definedName name="значимость2">#REF!</definedName>
    <definedName name="Зона_посадочных_мест_кафе">#REF!</definedName>
    <definedName name="измен_валют">#REF!</definedName>
    <definedName name="имущ">#REF!</definedName>
    <definedName name="Имя_Проекта">#REF!</definedName>
    <definedName name="Инвестиции">#REF!</definedName>
    <definedName name="Инвестиции_без_учета_продаж__в_т_.ч.">#REF!</definedName>
    <definedName name="Индекс_стоимости">#REF!</definedName>
    <definedName name="ИНН_З">#REF!</definedName>
    <definedName name="источник_стоимости">#REF!</definedName>
    <definedName name="источник_стоимости2">#REF!</definedName>
    <definedName name="к">#REF!</definedName>
    <definedName name="Категории">#REF!</definedName>
    <definedName name="категория_земель">#REF!</definedName>
    <definedName name="категория_земель2">#REF!</definedName>
    <definedName name="категория_обеспечения2">#REF!</definedName>
    <definedName name="квартиры_бизнес">#REF!</definedName>
    <definedName name="квартиры_премиум">#REF!</definedName>
    <definedName name="квартиы_бизнес">#REF!</definedName>
    <definedName name="ккк">#REF!</definedName>
    <definedName name="ком.рас">#REF!</definedName>
    <definedName name="ком.расх">#REF!</definedName>
    <definedName name="Контрагент">#REF!</definedName>
    <definedName name="Конференц_центр">#REF!</definedName>
    <definedName name="кор">#REF!</definedName>
    <definedName name="Коттеджи">#REF!</definedName>
    <definedName name="Кредит_инв">#REF!</definedName>
    <definedName name="Кредит_реф">#REF!</definedName>
    <definedName name="Кредит_Сбербанка">#REF!</definedName>
    <definedName name="кс80м">#REF!</definedName>
    <definedName name="КТП">#REF!</definedName>
    <definedName name="Курс">#REF!</definedName>
    <definedName name="Кухня_кафе">#REF!</definedName>
    <definedName name="лд">#REF!</definedName>
    <definedName name="Лечебный_центр">#REF!</definedName>
    <definedName name="ликвидность">#REF!</definedName>
    <definedName name="ликвидность2">#REF!</definedName>
    <definedName name="ллл">#REF!</definedName>
    <definedName name="лоир">#REF!</definedName>
    <definedName name="Мульт1">#REF!</definedName>
    <definedName name="Мульт2">#REF!</definedName>
    <definedName name="Н">#REF!</definedName>
    <definedName name="назначение_строний">#REF!</definedName>
    <definedName name="Наим_З">#REF!</definedName>
    <definedName name="нам">#REF!</definedName>
    <definedName name="ндс">#REF!</definedName>
    <definedName name="ндс_возмещ">#REF!</definedName>
    <definedName name="ни">#REF!</definedName>
    <definedName name="ниц">#REF!</definedName>
    <definedName name="нни">#REF!</definedName>
    <definedName name="ннти">#REF!</definedName>
    <definedName name="Норма_амортизации">#REF!</definedName>
    <definedName name="нп">#REF!</definedName>
    <definedName name="обременения">#REF!</definedName>
    <definedName name="Объекты">#REF!</definedName>
    <definedName name="осмотр">#REF!</definedName>
    <definedName name="Ост_стоимость">#REF!</definedName>
    <definedName name="ост.стоимость">#REF!</definedName>
    <definedName name="офисы_встр">#REF!</definedName>
    <definedName name="Очередь">#REF!</definedName>
    <definedName name="очередь1">#REF!</definedName>
    <definedName name="очередь2">#REF!</definedName>
    <definedName name="очередь3">#REF!</definedName>
    <definedName name="паркинг_жилой">#REF!</definedName>
    <definedName name="пентх_пл">#REF!</definedName>
    <definedName name="пентх_прод">#REF!</definedName>
    <definedName name="пентх_проц">#REF!</definedName>
    <definedName name="пентх_цена">#REF!</definedName>
    <definedName name="первыйпл">#REF!</definedName>
    <definedName name="Площадь">#REF!</definedName>
    <definedName name="площадь_Бриз">#REF!</definedName>
    <definedName name="Площадь_гипермаркета__кв.м.">#REF!</definedName>
    <definedName name="площадь_земли">#REF!</definedName>
    <definedName name="Площадь_продаваемой_якорю_выставки__кв.м.">#REF!</definedName>
    <definedName name="Площадь_С">#REF!</definedName>
    <definedName name="площадькв">#REF!</definedName>
    <definedName name="Подсобное_помещение">#REF!</definedName>
    <definedName name="Подсобное_помещение_20">#REF!</definedName>
    <definedName name="Подсобное_помещение_гипермаркета">#REF!</definedName>
    <definedName name="Подсобное_помещение20">#REF!</definedName>
    <definedName name="пол">#REF!</definedName>
    <definedName name="права_на_зу">#REF!</definedName>
    <definedName name="приб">#REF!</definedName>
    <definedName name="продажа">#REF!</definedName>
    <definedName name="продукт">#REF!</definedName>
    <definedName name="процент">#REF!</definedName>
    <definedName name="Процент_себестомость">#REF!</definedName>
    <definedName name="процент1">#REF!</definedName>
    <definedName name="процент2">#REF!</definedName>
    <definedName name="процент2006">#REF!</definedName>
    <definedName name="процент3">#REF!</definedName>
    <definedName name="процент4">#REF!</definedName>
    <definedName name="Процентная_ставка_">#REF!</definedName>
    <definedName name="Процентная_ставка_2">#REF!</definedName>
    <definedName name="Процентная_ставка_3">#REF!</definedName>
    <definedName name="проценты">#REF!</definedName>
    <definedName name="пя">#REF!</definedName>
    <definedName name="р">#REF!</definedName>
    <definedName name="р1">#REF!</definedName>
    <definedName name="р2">#REF!</definedName>
    <definedName name="р3">#REF!</definedName>
    <definedName name="Разгрузочная">#REF!</definedName>
    <definedName name="Расход1">#REF!</definedName>
    <definedName name="рез">#REF!</definedName>
    <definedName name="рок">#REF!</definedName>
    <definedName name="рост_паден">#REF!</definedName>
    <definedName name="Рыночный">#REF!</definedName>
    <definedName name="с">#REF!</definedName>
    <definedName name="с17">#REF!</definedName>
    <definedName name="Сбербанк">#REF!</definedName>
    <definedName name="св">#REF!</definedName>
    <definedName name="Сдаваемая_площадь">#REF!</definedName>
    <definedName name="ск4">#REF!</definedName>
    <definedName name="ск62">#REF!</definedName>
    <definedName name="ск79">#REF!</definedName>
    <definedName name="ск80б">#REF!</definedName>
    <definedName name="ск80к">#REF!</definedName>
    <definedName name="скид">#REF!</definedName>
    <definedName name="скпл">#REF!</definedName>
    <definedName name="смр">#REF!</definedName>
    <definedName name="сор">#REF!</definedName>
    <definedName name="ср1">#REF!</definedName>
    <definedName name="ср2">#REF!</definedName>
    <definedName name="ср3">#REF!</definedName>
    <definedName name="Средняя_ставка_аренды_за_1_кв.м__арендопригодной_площади____год_с_учетом_НДС_и_эксплуатационных_расходов">#REF!</definedName>
    <definedName name="срок">#REF!</definedName>
    <definedName name="ст1">#REF!</definedName>
    <definedName name="ст2">#REF!</definedName>
    <definedName name="ст3">#REF!</definedName>
    <definedName name="став_капитал">#REF!</definedName>
    <definedName name="став_кр">#REF!</definedName>
    <definedName name="став_реф">#REF!</definedName>
    <definedName name="став_рефен">#REF!</definedName>
    <definedName name="став_рефенанс">#REF!</definedName>
    <definedName name="ставка">#REF!</definedName>
    <definedName name="Ставка_1">#REF!</definedName>
    <definedName name="Ставка_2">#REF!</definedName>
    <definedName name="Ставка_3">#REF!</definedName>
    <definedName name="ставка_аренды">#REF!</definedName>
    <definedName name="Ставка_кредита">#REF!</definedName>
    <definedName name="Ставка_налога_на_имущество">#REF!</definedName>
    <definedName name="Ставка_налога_на_прибыль">#REF!</definedName>
    <definedName name="Ставка_НДС">#REF!</definedName>
    <definedName name="Ставка_по_кредиту">#REF!</definedName>
    <definedName name="Ставка_С">#REF!</definedName>
    <definedName name="Столовая_Гипермаркета">#REF!</definedName>
    <definedName name="страхование_наличие">#REF!</definedName>
    <definedName name="страхование_необходимость">#REF!</definedName>
    <definedName name="строительство">#REF!</definedName>
    <definedName name="сумма_аренды">#REF!</definedName>
    <definedName name="СуммаЗайма">#REF!</definedName>
    <definedName name="СуммаКредита">#REF!</definedName>
    <definedName name="сф3">#REF!</definedName>
    <definedName name="ся1">#REF!</definedName>
    <definedName name="ся2">#REF!</definedName>
    <definedName name="ся3">#REF!</definedName>
    <definedName name="т1">#REF!</definedName>
    <definedName name="т2">#REF!</definedName>
    <definedName name="т3">#REF!</definedName>
    <definedName name="ТГ">#REF!</definedName>
    <definedName name="тип_залога">#REF!+#REF!</definedName>
    <definedName name="тип_залога_Итог">#REF!</definedName>
    <definedName name="Тип_С">#REF!</definedName>
    <definedName name="торговля_встр">#REF!</definedName>
    <definedName name="торговля_встр_аренда">#REF!</definedName>
    <definedName name="ТЭН">#REF!</definedName>
    <definedName name="удор">#REF!</definedName>
    <definedName name="УearOpen">#REF!</definedName>
    <definedName name="ф3">#REF!</definedName>
    <definedName name="фаза">#REF!</definedName>
    <definedName name="х">#REF!</definedName>
    <definedName name="цель_рассмотрения">#REF!</definedName>
    <definedName name="Шаг">#REF!</definedName>
    <definedName name="щз">#REF!</definedName>
    <definedName name="ы">#REF!</definedName>
    <definedName name="экс_гип">#REF!</definedName>
    <definedName name="Экспл_якоря____кв.м._год">#REF!</definedName>
    <definedName name="экспл.расх">#REF!</definedName>
    <definedName name="Этаж_С">#REF!</definedName>
    <definedName name="эя">#REF!</definedName>
    <definedName name="я1">#REF!</definedName>
    <definedName name="я2">#REF!</definedName>
    <definedName name="я3">#REF!</definedName>
    <definedName name="як_эк">#REF!</definedName>
    <definedName name="як_эк2">#REF!</definedName>
    <definedName name="A_44">#REF!</definedName>
    <definedName name="a\\">100</definedName>
    <definedName name="About_AI">#REF!</definedName>
    <definedName name="About_AI_Summ">#REF!</definedName>
    <definedName name="adg">#REF!</definedName>
    <definedName name="adm_end_1">#REF!</definedName>
    <definedName name="adm_end_10">#REF!</definedName>
    <definedName name="adm_end_11">#REF!</definedName>
    <definedName name="adm_end_12">#REF!</definedName>
    <definedName name="adm_end_13">#REF!</definedName>
    <definedName name="adm_end_16">#REF!</definedName>
    <definedName name="adm_end_17">#REF!</definedName>
    <definedName name="adm_end_18">#REF!</definedName>
    <definedName name="adm_end_19">#REF!</definedName>
    <definedName name="adm_end_2">#REF!</definedName>
    <definedName name="adm_end_20">#REF!</definedName>
    <definedName name="adm_end_21">#REF!</definedName>
    <definedName name="adm_end_3">#REF!</definedName>
    <definedName name="adm_end_4">#REF!</definedName>
    <definedName name="adm_end_5">#REF!</definedName>
    <definedName name="adm_end_6">#REF!</definedName>
    <definedName name="adm_end_7">#REF!</definedName>
    <definedName name="adm_end_8">#REF!</definedName>
    <definedName name="adm_start_1">#REF!</definedName>
    <definedName name="adm_start_10">#REF!</definedName>
    <definedName name="adm_start_11">#REF!</definedName>
    <definedName name="adm_start_12">#REF!</definedName>
    <definedName name="adm_start_13">#REF!</definedName>
    <definedName name="adm_start_16">#REF!</definedName>
    <definedName name="adm_start_17">#REF!</definedName>
    <definedName name="adm_start_18">#REF!</definedName>
    <definedName name="adm_start_19">#REF!</definedName>
    <definedName name="adm_start_2">#REF!</definedName>
    <definedName name="adm_start_20">#REF!</definedName>
    <definedName name="adm_start_21">#REF!</definedName>
    <definedName name="adm_start_3">#REF!</definedName>
    <definedName name="adm_start_4">#REF!</definedName>
    <definedName name="adm_start_5">#REF!</definedName>
    <definedName name="adm_start_6">#REF!</definedName>
    <definedName name="adm_start_7">#REF!</definedName>
    <definedName name="adm_start_8">#REF!</definedName>
    <definedName name="AI_Version">#REF!</definedName>
    <definedName name="ann_rent">#REF!</definedName>
    <definedName name="Annual_interest_rate">#REF!</definedName>
    <definedName name="aq">#REF!</definedName>
    <definedName name="ARE">#REF!</definedName>
    <definedName name="area">#REF!</definedName>
    <definedName name="area_s">#REF!</definedName>
    <definedName name="aruanne">#REF!</definedName>
    <definedName name="asset_count_1">#REF!</definedName>
    <definedName name="asset_count_2">#REF!</definedName>
    <definedName name="asset_count_3">#REF!</definedName>
    <definedName name="assetvalue">#REF!</definedName>
    <definedName name="aver_rate_end">#REF!</definedName>
    <definedName name="aver_rate_start">#REF!</definedName>
    <definedName name="aver_ratej_end">#REF!</definedName>
    <definedName name="aver_ratej_start">#REF!</definedName>
    <definedName name="aver_ratemj_end">#REF!</definedName>
    <definedName name="aver_ratemj_start">#REF!</definedName>
    <definedName name="average_ticket" localSheetId="0">#REF!</definedName>
    <definedName name="average_ticket">#REF!</definedName>
    <definedName name="b10p1">#REF!</definedName>
    <definedName name="b10p2">#REF!</definedName>
    <definedName name="b4p1">#REF!</definedName>
    <definedName name="B4p2">#REF!</definedName>
    <definedName name="b5p1">#REF!</definedName>
    <definedName name="b5p2">#REF!</definedName>
    <definedName name="b6p1">#REF!</definedName>
    <definedName name="b6p2">#REF!</definedName>
    <definedName name="b7p1">#REF!</definedName>
    <definedName name="b7p2">#REF!</definedName>
    <definedName name="b8p1">#REF!</definedName>
    <definedName name="b8p2">#REF!</definedName>
    <definedName name="b9p1">#REF!</definedName>
    <definedName name="b9p2">#REF!</definedName>
    <definedName name="baj">#REF!</definedName>
    <definedName name="bal_first">#REF!</definedName>
    <definedName name="balance_type">1</definedName>
    <definedName name="BankPart">#REF!</definedName>
    <definedName name="BasePriceFall">#REF!</definedName>
    <definedName name="Beach_Income">#REF!</definedName>
    <definedName name="Beg.Bal">IF(#REF!&lt;&gt;"",#REF!,"")</definedName>
    <definedName name="BI">#REF!</definedName>
    <definedName name="bk_commercial">#REF!</definedName>
    <definedName name="bk_commercial_discounts">#REF!</definedName>
    <definedName name="bk_commercial_flats">#REF!</definedName>
    <definedName name="bk_commercial_invdeals">#REF!</definedName>
    <definedName name="bk_supply">#REF!</definedName>
    <definedName name="bk_supply_future">#REF!</definedName>
    <definedName name="bk_supply_pipeline">#REF!</definedName>
    <definedName name="bk_supply_progress">#REF!</definedName>
    <definedName name="bk_supply_start">#REF!</definedName>
    <definedName name="block1">#REF!</definedName>
    <definedName name="block10">#REF!</definedName>
    <definedName name="block11">#REF!</definedName>
    <definedName name="block12">#REF!</definedName>
    <definedName name="block13">#REF!</definedName>
    <definedName name="block14">#REF!</definedName>
    <definedName name="block15">#REF!</definedName>
    <definedName name="block16">#REF!</definedName>
    <definedName name="block17">#REF!</definedName>
    <definedName name="block18">#REF!</definedName>
    <definedName name="block19">#REF!</definedName>
    <definedName name="block2">#REF!</definedName>
    <definedName name="block20">#REF!</definedName>
    <definedName name="block21">#REF!</definedName>
    <definedName name="block22">#REF!</definedName>
    <definedName name="block23">#REF!</definedName>
    <definedName name="block24">#REF!</definedName>
    <definedName name="block25">#REF!</definedName>
    <definedName name="block26">#REF!</definedName>
    <definedName name="block27">#REF!</definedName>
    <definedName name="block28">#REF!</definedName>
    <definedName name="block29">#REF!</definedName>
    <definedName name="block3">#REF!</definedName>
    <definedName name="block30">#REF!</definedName>
    <definedName name="block31">#REF!</definedName>
    <definedName name="block32">#REF!</definedName>
    <definedName name="block33">#REF!</definedName>
    <definedName name="block34">#REF!</definedName>
    <definedName name="block35">#REF!</definedName>
    <definedName name="block36">#REF!</definedName>
    <definedName name="block37">#REF!</definedName>
    <definedName name="block38">#REF!</definedName>
    <definedName name="block39">#REF!</definedName>
    <definedName name="block4">#REF!</definedName>
    <definedName name="block40">#REF!</definedName>
    <definedName name="block41">#REF!</definedName>
    <definedName name="block42">#REF!</definedName>
    <definedName name="block43">#REF!</definedName>
    <definedName name="block44">#REF!</definedName>
    <definedName name="block45">#REF!</definedName>
    <definedName name="block46">#REF!</definedName>
    <definedName name="block47">#REF!</definedName>
    <definedName name="block48">#REF!</definedName>
    <definedName name="block49">#REF!</definedName>
    <definedName name="block5">#REF!</definedName>
    <definedName name="block50">#REF!</definedName>
    <definedName name="block51">#REF!</definedName>
    <definedName name="block52">#REF!</definedName>
    <definedName name="block53">#REF!</definedName>
    <definedName name="block54">#REF!</definedName>
    <definedName name="block55">#REF!</definedName>
    <definedName name="block56">#REF!</definedName>
    <definedName name="block57">#REF!</definedName>
    <definedName name="block58">#REF!</definedName>
    <definedName name="block59">#REF!</definedName>
    <definedName name="block6">#REF!</definedName>
    <definedName name="block60">#REF!</definedName>
    <definedName name="block61">#REF!</definedName>
    <definedName name="block62">#REF!</definedName>
    <definedName name="block63">#REF!</definedName>
    <definedName name="block64">#REF!</definedName>
    <definedName name="block65">#REF!</definedName>
    <definedName name="block66">#REF!</definedName>
    <definedName name="block67">#REF!</definedName>
    <definedName name="block68">#REF!</definedName>
    <definedName name="block69">#REF!</definedName>
    <definedName name="block7">#REF!</definedName>
    <definedName name="block70">#REF!</definedName>
    <definedName name="block8">#REF!</definedName>
    <definedName name="block9">#REF!</definedName>
    <definedName name="book_value">#REF!</definedName>
    <definedName name="bookmark1">#REF!</definedName>
    <definedName name="bookmark10">#REF!</definedName>
    <definedName name="bookmark11">#REF!</definedName>
    <definedName name="bookmark12">#REF!</definedName>
    <definedName name="bookmark13">#REF!</definedName>
    <definedName name="bookmark14">#REF!</definedName>
    <definedName name="bookmark15">#REF!</definedName>
    <definedName name="bookmark16">#REF!</definedName>
    <definedName name="bookmark17">#REF!</definedName>
    <definedName name="bookmark18">#REF!</definedName>
    <definedName name="bookmark19">#REF!</definedName>
    <definedName name="bookmark2">#REF!</definedName>
    <definedName name="bookmark20">#REF!</definedName>
    <definedName name="bookmark21">#REF!</definedName>
    <definedName name="bookmark3">#REF!</definedName>
    <definedName name="bookmark4">#REF!</definedName>
    <definedName name="bookmark5">#REF!</definedName>
    <definedName name="bookmark6">#REF!</definedName>
    <definedName name="bookmark7">#REF!</definedName>
    <definedName name="bookmark8">#REF!</definedName>
    <definedName name="bookmark9">#REF!</definedName>
    <definedName name="BR">#REF!</definedName>
    <definedName name="BUILDLING_R">#REF!</definedName>
    <definedName name="BUR">#REF!</definedName>
    <definedName name="BV">#REF!</definedName>
    <definedName name="CA">#REF!</definedName>
    <definedName name="calc">1</definedName>
    <definedName name="CalcMethod">#REF!</definedName>
    <definedName name="cap_rate" localSheetId="0">#REF!</definedName>
    <definedName name="cap_rate">#REF!</definedName>
    <definedName name="CASH">#REF!</definedName>
    <definedName name="Cash_At_End">#REF!</definedName>
    <definedName name="Cash_Flow">#REF!</definedName>
    <definedName name="CD">#REF!</definedName>
    <definedName name="CGS">#REF!</definedName>
    <definedName name="CHEC_end_1">#REF!</definedName>
    <definedName name="chec_end_2">#REF!</definedName>
    <definedName name="chec_end_3">#REF!</definedName>
    <definedName name="chec_end_4">#REF!</definedName>
    <definedName name="chek_end_1">#REF!</definedName>
    <definedName name="chek_end_10">#REF!</definedName>
    <definedName name="chek_end_11">#REF!</definedName>
    <definedName name="chek_end_13">#REF!</definedName>
    <definedName name="chek_end_14">#REF!</definedName>
    <definedName name="chek_end_2">#REF!</definedName>
    <definedName name="chek_end_20">#REF!</definedName>
    <definedName name="chek_end_3">#REF!</definedName>
    <definedName name="chek_end_5">#REF!</definedName>
    <definedName name="chek_end_7">#REF!</definedName>
    <definedName name="chek_end_8">#REF!</definedName>
    <definedName name="chek_end_9">#REF!</definedName>
    <definedName name="CHUK">#REF!</definedName>
    <definedName name="CIQWBGuid" hidden="1">"cbbf1435-9015-44fa-aa4b-7b5b54af4858"</definedName>
    <definedName name="circ">#REF!</definedName>
    <definedName name="Circular_switch">#REF!</definedName>
    <definedName name="city_n">#REF!</definedName>
    <definedName name="class_end_1">#REF!</definedName>
    <definedName name="class_end_10">#REF!</definedName>
    <definedName name="class_end_11">#REF!</definedName>
    <definedName name="class_end_12">#REF!</definedName>
    <definedName name="class_end_13">#REF!</definedName>
    <definedName name="class_end_14">#REF!</definedName>
    <definedName name="class_end_2">#REF!</definedName>
    <definedName name="class_end_3">#REF!</definedName>
    <definedName name="class_end_4">#REF!</definedName>
    <definedName name="class_end_5">#REF!</definedName>
    <definedName name="class_end_6">#REF!</definedName>
    <definedName name="class_end_7">#REF!</definedName>
    <definedName name="class_end_9">#REF!</definedName>
    <definedName name="class_start_1">#REF!</definedName>
    <definedName name="class_start_10">#REF!</definedName>
    <definedName name="class_start_11">#REF!</definedName>
    <definedName name="class_start_12">#REF!</definedName>
    <definedName name="class_start_13">#REF!</definedName>
    <definedName name="class_start_14">#REF!</definedName>
    <definedName name="class_start_2">#REF!</definedName>
    <definedName name="class_start_3">#REF!</definedName>
    <definedName name="class_start_4">#REF!</definedName>
    <definedName name="class_start_5">#REF!</definedName>
    <definedName name="class_start_6">#REF!</definedName>
    <definedName name="class_start_7">#REF!</definedName>
    <definedName name="class_start_9">#REF!</definedName>
    <definedName name="co">1</definedName>
    <definedName name="COMP_LAST_COLUMN">#REF!</definedName>
    <definedName name="constr">#REF!</definedName>
    <definedName name="constr_cost">#REF!</definedName>
    <definedName name="constr_materials_end">#REF!</definedName>
    <definedName name="constr_materials_start">#REF!</definedName>
    <definedName name="constr_psm">#REF!</definedName>
    <definedName name="CS">#REF!</definedName>
    <definedName name="CSV">#REF!</definedName>
    <definedName name="Cum.Interest">IF(#REF!&lt;&gt;"",#REF!+#REF!,"")</definedName>
    <definedName name="cur">#REF!</definedName>
    <definedName name="CUR_Foreign">#REF!</definedName>
    <definedName name="CUR_I_Foreign">#REF!</definedName>
    <definedName name="CUR_I_Main">#REF!</definedName>
    <definedName name="CUR_I_Report">#REF!</definedName>
    <definedName name="CUR_Main">#REF!</definedName>
    <definedName name="CUR_Report">#REF!</definedName>
    <definedName name="CURR_PROJECT">#REF!</definedName>
    <definedName name="CURR_REPORTING">#REF!</definedName>
    <definedName name="CURRENCY_R">#REF!</definedName>
    <definedName name="CURRENCY2">#REF!</definedName>
    <definedName name="CurrencyRate">#REF!</definedName>
    <definedName name="current_end">#REF!</definedName>
    <definedName name="current_g_end">#REF!</definedName>
    <definedName name="current_g_start">#REF!</definedName>
    <definedName name="current_start">#REF!</definedName>
    <definedName name="CurrRate">#REF!</definedName>
    <definedName name="D">#REF!</definedName>
    <definedName name="DATA_03" hidden="1">#REF!</definedName>
    <definedName name="DATA_05" hidden="1">#REF!</definedName>
    <definedName name="DATA_08" hidden="1">#REF!</definedName>
    <definedName name="DATE">#REF!</definedName>
    <definedName name="DATE_EXPIRE_R">#REF!</definedName>
    <definedName name="DATE_SIGN_R">#REF!</definedName>
    <definedName name="DATE_START_R">#REF!</definedName>
    <definedName name="dates" localSheetId="0">#REF!</definedName>
    <definedName name="dates">#REF!</definedName>
    <definedName name="daycount_val">#REF!</definedName>
    <definedName name="daycounts">#REF!</definedName>
    <definedName name="Days1styr">#REF!</definedName>
    <definedName name="DaysFirstYr">#REF!</definedName>
    <definedName name="Dayssubyears">#REF!</definedName>
    <definedName name="DaysSubYrs">#REF!</definedName>
    <definedName name="DaySubyRS">#REF!</definedName>
    <definedName name="DCS">#REF!</definedName>
    <definedName name="ddd">#REF!</definedName>
    <definedName name="deals_end">#REF!</definedName>
    <definedName name="deals_prev_end">#REF!</definedName>
    <definedName name="deals_prev_start">#REF!</definedName>
    <definedName name="deals_sale_end">#REF!</definedName>
    <definedName name="deals_sale_prev_end">#REF!</definedName>
    <definedName name="deals_sale_prev_start">#REF!</definedName>
    <definedName name="deals_sale_start">#REF!</definedName>
    <definedName name="deals_start">#REF!</definedName>
    <definedName name="definition">#REF!</definedName>
    <definedName name="DEPOSITS_R">#REF!</definedName>
    <definedName name="dev_end">#REF!</definedName>
    <definedName name="dev_start">#REF!</definedName>
    <definedName name="develop_ins_1_end">#REF!</definedName>
    <definedName name="develop_ins_1_start">#REF!</definedName>
    <definedName name="develop_ins_2_start">#REF!</definedName>
    <definedName name="develop_ins_end_1">#REF!</definedName>
    <definedName name="develop_ins_start_1">#REF!</definedName>
    <definedName name="di">#REF!</definedName>
    <definedName name="disc1">#REF!</definedName>
    <definedName name="disc2">#REF!</definedName>
    <definedName name="disc3">#REF!</definedName>
    <definedName name="discounts_end">#REF!</definedName>
    <definedName name="discounts_end2">#REF!</definedName>
    <definedName name="discounts_start">#REF!</definedName>
    <definedName name="dsask">#REF!</definedName>
    <definedName name="DV">#REF!</definedName>
    <definedName name="DySuYr">#REF!</definedName>
    <definedName name="ee">#REF!</definedName>
    <definedName name="eeee">#REF!</definedName>
    <definedName name="end">#REF!</definedName>
    <definedName name="end_adm">#REF!</definedName>
    <definedName name="end_metro">#REF!</definedName>
    <definedName name="end_obl">#REF!</definedName>
    <definedName name="end_trassa">#REF!</definedName>
    <definedName name="end_ulica">#REF!</definedName>
    <definedName name="end_zona">#REF!</definedName>
    <definedName name="Ending.Balance">IF(#REF!&lt;&gt;"",#REF!-#REF!,"")</definedName>
    <definedName name="EOQRates">#REF!</definedName>
    <definedName name="EPCS">#REF!</definedName>
    <definedName name="erof">100</definedName>
    <definedName name="EST_BALANCE">#REF!</definedName>
    <definedName name="EST_DATA">#REF!</definedName>
    <definedName name="EST_FROM">#REF!</definedName>
    <definedName name="EST_NumStages">#REF!</definedName>
    <definedName name="EST_Obj_1">#REF!</definedName>
    <definedName name="EST_Obj_10">#REF!</definedName>
    <definedName name="EST_Obj_2">#REF!</definedName>
    <definedName name="EST_Obj_3">#REF!</definedName>
    <definedName name="EST_Obj_4">#REF!</definedName>
    <definedName name="EST_Obj_5">#REF!</definedName>
    <definedName name="EST_Obj_6">#REF!</definedName>
    <definedName name="EST_Obj_7">#REF!</definedName>
    <definedName name="EST_Obj_8">#REF!</definedName>
    <definedName name="EST_Obj_9">#REF!</definedName>
    <definedName name="EST_ProdNum">#REF!</definedName>
    <definedName name="EST_SQUARE">#REF!</definedName>
    <definedName name="EUR">#REF!</definedName>
    <definedName name="Euribor">#REF!</definedName>
    <definedName name="Excel_BuiltIn_Print_Area_1">#REF!</definedName>
    <definedName name="Existing">#REF!</definedName>
    <definedName name="exit" localSheetId="0">#REF!</definedName>
    <definedName name="exit" localSheetId="1">Модель!$A$1</definedName>
    <definedName name="exit">#REF!</definedName>
    <definedName name="Fair_Share">#REF!</definedName>
    <definedName name="Fall">#REF!</definedName>
    <definedName name="Fall1">#REF!</definedName>
    <definedName name="Fall2">#REF!</definedName>
    <definedName name="fdsfshsj">#REF!</definedName>
    <definedName name="February2003">#REF!</definedName>
    <definedName name="First_payment_due">#REF!</definedName>
    <definedName name="fixed_liq">#REF!</definedName>
    <definedName name="FLOORS_R">#REF!</definedName>
    <definedName name="forc_class_end_1">#REF!</definedName>
    <definedName name="forc_class_end_2">#REF!</definedName>
    <definedName name="forc_class_start_1">#REF!</definedName>
    <definedName name="forc_class_start_2">#REF!</definedName>
    <definedName name="FREQUENCY_R">#REF!</definedName>
    <definedName name="FrShr">#REF!</definedName>
    <definedName name="FY">1999</definedName>
    <definedName name="gexp_count_1">#REF!</definedName>
    <definedName name="gexp_count_2">#REF!</definedName>
    <definedName name="gexp_count_3">#REF!</definedName>
    <definedName name="gexp_count_4">#REF!</definedName>
    <definedName name="GHJIH">#REF!</definedName>
    <definedName name="h">#REF!</definedName>
    <definedName name="I">#REF!</definedName>
    <definedName name="Inflaton_rate">#REF!</definedName>
    <definedName name="Insurance_cost">#REF!</definedName>
    <definedName name="Insurance_rate">#REF!</definedName>
    <definedName name="INT">#REF!</definedName>
    <definedName name="int_first">#REF!</definedName>
    <definedName name="int_per_val">#REF!</definedName>
    <definedName name="Interest">#N/A</definedName>
    <definedName name="IntroPrintArea" hidden="1">#REF!</definedName>
    <definedName name="invest_deal_end">#REF!</definedName>
    <definedName name="invest_deal_prev_end">#REF!</definedName>
    <definedName name="invest_deal_prev_start">#REF!</definedName>
    <definedName name="invest_deal_start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43472.5939351852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_DEMO">#REF!</definedName>
    <definedName name="IS_ESTATE">#REF!</definedName>
    <definedName name="IS_NULL">#REF!</definedName>
    <definedName name="IS_PRIM">#REF!</definedName>
    <definedName name="IS_SUMM">#REF!</definedName>
    <definedName name="K">#REF!</definedName>
    <definedName name="L">#REF!</definedName>
    <definedName name="LANG">#REF!</definedName>
    <definedName name="LANGUAGE">#REF!</definedName>
    <definedName name="LAST_COLUMN">#REF!</definedName>
    <definedName name="LD">#REF!</definedName>
    <definedName name="lease_count">#REF!</definedName>
    <definedName name="LEASE_TERM_R">#REF!</definedName>
    <definedName name="Leasure">#REF!</definedName>
    <definedName name="letfees">#REF!</definedName>
    <definedName name="libor">#REF!</definedName>
    <definedName name="Lista">#REF!</definedName>
    <definedName name="ListForSensAnal">#REF!</definedName>
    <definedName name="loan_count">#REF!</definedName>
    <definedName name="loan_type_val">#REF!</definedName>
    <definedName name="loan_types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TCH">#REF!</definedName>
    <definedName name="LTG">#REF!</definedName>
    <definedName name="M">#REF!</definedName>
    <definedName name="marker">#REF!</definedName>
    <definedName name="marker_s">#REF!</definedName>
    <definedName name="Middle">#REF!</definedName>
    <definedName name="minimum">0.85</definedName>
    <definedName name="MktSctr1">#REF!,#REF!,#REF!,#REF!,#REF!</definedName>
    <definedName name="MktSctr10">#REF!,#REF!,#REF!,#REF!,#REF!</definedName>
    <definedName name="MktSctr11">#REF!,#REF!,#REF!,#REF!,#REF!</definedName>
    <definedName name="MktSctr2">#REF!,#REF!,#REF!,#REF!,#REF!</definedName>
    <definedName name="MktSctr3">#REF!,#REF!,#REF!,#REF!,#REF!</definedName>
    <definedName name="MktSctr4">#REF!,#REF!,#REF!,#REF!,#REF!</definedName>
    <definedName name="MktSctr5">#REF!,#REF!,#REF!,#REF!,#REF!</definedName>
    <definedName name="MktSctr6">#REF!,#REF!,#REF!,#REF!,#REF!</definedName>
    <definedName name="MktSctr7">#REF!,#REF!,#REF!,#REF!,#REF!</definedName>
    <definedName name="MktSctr8">#REF!,#REF!,#REF!,#REF!,#REF!</definedName>
    <definedName name="MktSctr9">#REF!,#REF!,#REF!,#REF!,#REF!</definedName>
    <definedName name="MM">#REF!</definedName>
    <definedName name="MPCS">#REF!</definedName>
    <definedName name="MS">#REF!</definedName>
    <definedName name="MthsFirstYr">#REF!</definedName>
    <definedName name="MthsSubYrs">#REF!</definedName>
    <definedName name="name">#REF!</definedName>
    <definedName name="NB">#REF!</definedName>
    <definedName name="NCS">#REF!</definedName>
    <definedName name="newopen_end">#REF!</definedName>
    <definedName name="newopen_start">#REF!</definedName>
    <definedName name="NOI_q2_2008">#REF!</definedName>
    <definedName name="NOI_q3_2008">#REF!</definedName>
    <definedName name="NoRooms">#REF!</definedName>
    <definedName name="NPS">#REF!</definedName>
    <definedName name="NPT">#REF!</definedName>
    <definedName name="NRA">#REF!</definedName>
    <definedName name="NRA_BOMA_R">#REF!</definedName>
    <definedName name="NS">#REF!</definedName>
    <definedName name="NWC_T_Cr_AdvK">#REF!</definedName>
    <definedName name="NWC_T_Cr_AdvT">#REF!</definedName>
    <definedName name="NWC_T_Cr_CrdK">#REF!</definedName>
    <definedName name="NWC_T_Cr_CrdT">#REF!</definedName>
    <definedName name="NWC_T_Cycle">#REF!</definedName>
    <definedName name="NWC_T_Db_AdvK">#REF!</definedName>
    <definedName name="NWC_T_Db_AdvT">#REF!</definedName>
    <definedName name="NWC_T_Db_CrdK">#REF!</definedName>
    <definedName name="NWC_T_Db_CrdT">#REF!</definedName>
    <definedName name="NWC_T_Goods">#REF!</definedName>
    <definedName name="NWC_T_Mat">#REF!</definedName>
    <definedName name="offer">1.15</definedName>
    <definedName name="OP">#REF!</definedName>
    <definedName name="Open_Year">#REF!</definedName>
    <definedName name="OthSctr1">#REF!</definedName>
    <definedName name="OthSctr2">#REF!</definedName>
    <definedName name="OthSctr3">#REF!</definedName>
    <definedName name="papuga">#REF!</definedName>
    <definedName name="payment.Num">#N/A</definedName>
    <definedName name="Payments_per_year">#REF!</definedName>
    <definedName name="per_in">CONCATENATE(IF(#REF!=2,"во ","в "),#REF!," кв. ",#REF!," г.")</definedName>
    <definedName name="period">12</definedName>
    <definedName name="Periodic_rate" localSheetId="0">Annual_interest_rate/Payments_per_year</definedName>
    <definedName name="Periodic_rate">Annual_interest_rate/Payments_per_year</definedName>
    <definedName name="periodicities">#REF!</definedName>
    <definedName name="PeriodLong">#REF!</definedName>
    <definedName name="PeriodTitle">#REF!</definedName>
    <definedName name="pers_count_1">#REF!</definedName>
    <definedName name="pers_count_2">#REF!</definedName>
    <definedName name="pers_count_3">#REF!</definedName>
    <definedName name="pers_count_4">#REF!</definedName>
    <definedName name="Phased">#REF!</definedName>
    <definedName name="PHOTOS_1">#N/A</definedName>
    <definedName name="PHOTOS_3">#N/A</definedName>
    <definedName name="pipeline_end">#REF!</definedName>
    <definedName name="pipeline_start">#REF!</definedName>
    <definedName name="Pmt_to_use">#REF!</definedName>
    <definedName name="PnLCurr">#REF!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n_per_val">#REF!</definedName>
    <definedName name="Principal" localSheetId="0">IF(#REF!&lt;&gt;"",MIN(#REF!,Pmt_to_use-#REF!),"")</definedName>
    <definedName name="Principal">IF(#REF!&lt;&gt;"",MIN(#REF!,Pmt_to_use-#REF!),"")</definedName>
    <definedName name="PRINT">#REF!</definedName>
    <definedName name="Print_Area_MI">#REF!</definedName>
    <definedName name="Print_Area_MI2">#REF!</definedName>
    <definedName name="Print_Titles_MI">#REF!</definedName>
    <definedName name="Print_Titles_MI2">#REF!</definedName>
    <definedName name="PRINTA">#REF!</definedName>
    <definedName name="printer">#REF!</definedName>
    <definedName name="PRJ_COUNT">#REF!</definedName>
    <definedName name="PRJ_Len">#REF!</definedName>
    <definedName name="PRJ_Protected">#REF!</definedName>
    <definedName name="PRJ_StartDate">#REF!</definedName>
    <definedName name="PRJ_StartMon">#REF!</definedName>
    <definedName name="PRJ_StartYear">#REF!</definedName>
    <definedName name="PRJ_Step">#REF!</definedName>
    <definedName name="PRJ_Step_SName">#REF!</definedName>
    <definedName name="PRJ_StepType">#REF!</definedName>
    <definedName name="prod_tbl_1">#REF!</definedName>
    <definedName name="prod_tbl_2">#REF!</definedName>
    <definedName name="prod_tbl_3">#REF!</definedName>
    <definedName name="prod_tbl_4">#REF!</definedName>
    <definedName name="prod_types">#REF!</definedName>
    <definedName name="ProdNum">#REF!</definedName>
    <definedName name="profile">#REF!</definedName>
    <definedName name="ProfitTax">#REF!</definedName>
    <definedName name="ProfitTax_Period">#REF!</definedName>
    <definedName name="Project">#REF!</definedName>
    <definedName name="PROJECTS">#REF!</definedName>
    <definedName name="PSBV">#REF!</definedName>
    <definedName name="PSI">#REF!</definedName>
    <definedName name="PSR">#REF!</definedName>
    <definedName name="PSV">#REF!</definedName>
    <definedName name="q" localSheetId="0" hidden="1">{"Inflation-BaseYear",#N/A,FALSE,"Inputs"}</definedName>
    <definedName name="q" hidden="1">{"Inflation-BaseYear",#N/A,FALSE,"Inputs"}</definedName>
    <definedName name="q_begintext">#N/A</definedName>
    <definedName name="q_endtext">#N/A</definedName>
    <definedName name="q_nach">#N/A</definedName>
    <definedName name="q_text">#N/A</definedName>
    <definedName name="qe">#REF!</definedName>
    <definedName name="qqq" localSheetId="0" hidden="1">{"Output-3Column",#N/A,FALSE,"Output"}</definedName>
    <definedName name="qqq" hidden="1">{"Output-3Column",#N/A,FALSE,"Output"}</definedName>
    <definedName name="qqqqqq" localSheetId="0" hidden="1">{"Output-BaseYear",#N/A,FALSE,"Output"}</definedName>
    <definedName name="qqqqqq" hidden="1">{"Output-BaseYear",#N/A,FALSE,"Output"}</definedName>
    <definedName name="qqqqqqq">#REF!</definedName>
    <definedName name="qwqwqwq">#REF!</definedName>
    <definedName name="raf">#REF!</definedName>
    <definedName name="rasr">#REF!</definedName>
    <definedName name="Rate">#REF!</definedName>
    <definedName name="RAUDJDACN">#REF!</definedName>
    <definedName name="re_value" localSheetId="0">#REF!</definedName>
    <definedName name="re_value">#REF!</definedName>
    <definedName name="RegNum">#REF!</definedName>
    <definedName name="RENT">#REF!</definedName>
    <definedName name="RENT_INDEXATION_R">#REF!</definedName>
    <definedName name="rent_prop_end">#REF!</definedName>
    <definedName name="rent_prop_start">#REF!</definedName>
    <definedName name="RENT_Y1_R">#REF!</definedName>
    <definedName name="RENTROLL">#REF!</definedName>
    <definedName name="RENTROLL2">#REF!</definedName>
    <definedName name="rep_type_val">#REF!</definedName>
    <definedName name="rep_types">#REF!</definedName>
    <definedName name="req_type">#REF!</definedName>
    <definedName name="Rest">#REF!</definedName>
    <definedName name="RNtWkDyUsed">#REF!</definedName>
    <definedName name="ro_date">#REF!</definedName>
    <definedName name="ro_prin">#REF!</definedName>
    <definedName name="round">1</definedName>
    <definedName name="S_CHARGE_R">#REF!</definedName>
    <definedName name="SAE">#REF!</definedName>
    <definedName name="sale_prop_end">#REF!</definedName>
    <definedName name="sale_prop_start">#REF!</definedName>
    <definedName name="sales" localSheetId="0">#REF!</definedName>
    <definedName name="sales">#REF!</definedName>
    <definedName name="sales_2" localSheetId="0">#REF!</definedName>
    <definedName name="sales_2">#REF!</definedName>
    <definedName name="SalesVelocity">#REF!</definedName>
    <definedName name="SameSSens">#REF!</definedName>
    <definedName name="SameSSn">#REF!</definedName>
    <definedName name="Samessns">#REF!</definedName>
    <definedName name="sc">#REF!</definedName>
    <definedName name="Scenarios">#REF!</definedName>
    <definedName name="SellShift">#REF!</definedName>
    <definedName name="sens" localSheetId="0">#REF!</definedName>
    <definedName name="sens" localSheetId="1">Модель!#REF!</definedName>
    <definedName name="sens">#REF!</definedName>
    <definedName name="sens_factor" localSheetId="0">#REF!</definedName>
    <definedName name="sens_factor">Модель!#REF!</definedName>
    <definedName name="SENS_Parameter">#REF!</definedName>
    <definedName name="SENS_Project">#REF!</definedName>
    <definedName name="SENS_Res1">#REF!</definedName>
    <definedName name="SENS_Res2">#REF!</definedName>
    <definedName name="SensForSumm">#REF!</definedName>
    <definedName name="Sep_00">#REF!</definedName>
    <definedName name="services" localSheetId="0">#REF!</definedName>
    <definedName name="services">#REF!</definedName>
    <definedName name="share_of_district" localSheetId="0">#REF!</definedName>
    <definedName name="share_of_district">#REF!</definedName>
    <definedName name="Shops">#REF!</definedName>
    <definedName name="Show.Date" localSheetId="0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howAbout">#REF!</definedName>
    <definedName name="ShowRealDates">#REF!</definedName>
    <definedName name="smooth_ro_val">#REF!</definedName>
    <definedName name="spec_fin">#REF!</definedName>
    <definedName name="spros_1_end">#REF!</definedName>
    <definedName name="spros_1_start">#REF!</definedName>
    <definedName name="spros_2_end">#REF!</definedName>
    <definedName name="spros_2_start">#REF!</definedName>
    <definedName name="SSS">#REF!</definedName>
    <definedName name="StabУr">#REF!</definedName>
    <definedName name="sTABYEAR">#REF!</definedName>
    <definedName name="StabYr">#REF!</definedName>
    <definedName name="start">#REF!</definedName>
    <definedName name="start_adm">#REF!</definedName>
    <definedName name="start_metro">#REF!</definedName>
    <definedName name="start_obl">#REF!</definedName>
    <definedName name="start_trassa">#REF!</definedName>
    <definedName name="start_ulica">#REF!</definedName>
    <definedName name="start_zona">#REF!</definedName>
    <definedName name="stoim_gar">#REF!</definedName>
    <definedName name="stoim_gar1">#REF!</definedName>
    <definedName name="str_end_1">#REF!</definedName>
    <definedName name="str_end_11">#REF!</definedName>
    <definedName name="str_end_12">#REF!</definedName>
    <definedName name="str_end_13">#REF!</definedName>
    <definedName name="str_end_14">#REF!</definedName>
    <definedName name="str_end_16">#REF!</definedName>
    <definedName name="str_end_17">#REF!</definedName>
    <definedName name="str_end_18">#REF!</definedName>
    <definedName name="str_end_19">#REF!</definedName>
    <definedName name="str_end_2">#REF!</definedName>
    <definedName name="str_end_20">#REF!</definedName>
    <definedName name="str_end_21">#REF!</definedName>
    <definedName name="str_end_3">#REF!</definedName>
    <definedName name="str_end_4">#REF!</definedName>
    <definedName name="str_end_5">#REF!</definedName>
    <definedName name="str_end_6">#REF!</definedName>
    <definedName name="str_end_7">#REF!</definedName>
    <definedName name="str_end_8">#REF!</definedName>
    <definedName name="str_end_9">#REF!</definedName>
    <definedName name="str_start_1">#REF!</definedName>
    <definedName name="str_start_11">#REF!</definedName>
    <definedName name="str_start_12">#REF!</definedName>
    <definedName name="str_start_13">#REF!</definedName>
    <definedName name="str_start_14">#REF!</definedName>
    <definedName name="str_start_16">#REF!</definedName>
    <definedName name="str_start_17">#REF!</definedName>
    <definedName name="str_start_18">#REF!</definedName>
    <definedName name="str_start_19">#REF!</definedName>
    <definedName name="str_start_2">#REF!</definedName>
    <definedName name="str_start_20">#REF!</definedName>
    <definedName name="str_start_21">#REF!</definedName>
    <definedName name="str_start_3">#REF!</definedName>
    <definedName name="str_start_4">#REF!</definedName>
    <definedName name="str_start_5">#REF!</definedName>
    <definedName name="str_start_6">#REF!</definedName>
    <definedName name="str_start_7">#REF!</definedName>
    <definedName name="str_start_8">#REF!</definedName>
    <definedName name="str_start_9">#REF!</definedName>
    <definedName name="SUMM_LAST_COLUMN">#REF!</definedName>
    <definedName name="SUMM_PrjList">#REF!</definedName>
    <definedName name="support">#REF!</definedName>
    <definedName name="TA">#REF!</definedName>
    <definedName name="TAX_VAT">#REF!</definedName>
    <definedName name="TD">#REF!</definedName>
    <definedName name="tech">#REF!</definedName>
    <definedName name="TENANT_NAME_R">#REF!</definedName>
    <definedName name="Term_in_years">#REF!</definedName>
    <definedName name="Terrace">#REF!</definedName>
    <definedName name="th">#REF!</definedName>
    <definedName name="TOPBORD">#REF!</definedName>
    <definedName name="TOPBORD2">#REF!</definedName>
    <definedName name="Tot">#REF!</definedName>
    <definedName name="total">#REF!</definedName>
    <definedName name="Total_payments" localSheetId="0">Payments_per_year*Term_in_years</definedName>
    <definedName name="Total_payments">Payments_per_year*Term_in_years</definedName>
    <definedName name="TotCunstr">#REF!</definedName>
    <definedName name="toy">1995</definedName>
    <definedName name="TransRates">#REF!</definedName>
    <definedName name="typ_discount_end">#REF!</definedName>
    <definedName name="typ_discount_start">#REF!</definedName>
    <definedName name="ulica_end_1">#REF!</definedName>
    <definedName name="ulica_end_2">#REF!</definedName>
    <definedName name="ulica_end_3">#REF!</definedName>
    <definedName name="ulica_end_4">#REF!</definedName>
    <definedName name="ulica_start_1">#REF!</definedName>
    <definedName name="ulica_start_2">#REF!</definedName>
    <definedName name="ulica_start_3">#REF!</definedName>
    <definedName name="ulica_start_4">#REF!</definedName>
    <definedName name="unit">#REF!</definedName>
    <definedName name="unit_s">#REF!</definedName>
    <definedName name="usd">#REF!</definedName>
    <definedName name="UserName">#REF!</definedName>
    <definedName name="vacancyst">#REF!</definedName>
    <definedName name="value">3</definedName>
    <definedName name="vat">#REF!</definedName>
    <definedName name="VAT_OnAssets">#REF!</definedName>
    <definedName name="VAT_Period">#REF!</definedName>
    <definedName name="VAT_Repay">#REF!</definedName>
    <definedName name="VATABLE_R">#REF!</definedName>
    <definedName name="Ver_BuildDate">#REF!</definedName>
    <definedName name="Ver_ChangeDate">#REF!</definedName>
    <definedName name="versionno">1</definedName>
    <definedName name="VIP_охрана">#REF!</definedName>
    <definedName name="vybor">#REF!</definedName>
    <definedName name="Weeks1styr">#REF!</definedName>
    <definedName name="Weekssubyr">#REF!</definedName>
    <definedName name="WeeksSubYrs">#REF!</definedName>
    <definedName name="WksFirstYr">#REF!</definedName>
    <definedName name="WksSubYrs">#REF!</definedName>
    <definedName name="wqqwqqwq">#REF!</definedName>
    <definedName name="wrn.Inputs." localSheetId="0" hidden="1">{"Inflation-BaseYear",#N/A,FALSE,"Inputs"}</definedName>
    <definedName name="wrn.Inputs." hidden="1">{"Inflation-BaseYear",#N/A,FALSE,"Inputs"}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xx" localSheetId="0" hidden="1">{"Output-Min",#N/A,FALSE,"Output"}</definedName>
    <definedName name="xx" hidden="1">{"Output-Min",#N/A,FALSE,"Output"}</definedName>
    <definedName name="xxxaa" localSheetId="0" hidden="1">{"Inflation-BaseYear",#N/A,FALSE,"Inputs"}</definedName>
    <definedName name="xxxaa" hidden="1">{"Inflation-BaseYear",#N/A,FALSE,"Inputs"}</definedName>
    <definedName name="xxxxx" localSheetId="0" hidden="1">{"Output%",#N/A,FALSE,"Output"}</definedName>
    <definedName name="xxxxx" hidden="1">{"Output%",#N/A,FALSE,"Output"}</definedName>
    <definedName name="y">#REF!</definedName>
    <definedName name="YearOpen">#REF!</definedName>
    <definedName name="YerOpen">#REF!</definedName>
    <definedName name="YrDataInput">#REF!</definedName>
    <definedName name="YY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L219" i="2" s="1"/>
  <c r="L274" i="2" s="1"/>
  <c r="N19" i="5"/>
  <c r="N18" i="5"/>
  <c r="N16" i="5"/>
  <c r="I273" i="2"/>
  <c r="I276" i="2" s="1"/>
  <c r="G73" i="2"/>
  <c r="G249" i="2"/>
  <c r="H261" i="2"/>
  <c r="F237" i="2"/>
  <c r="F186" i="2"/>
  <c r="E28" i="2"/>
  <c r="E29" i="2" s="1"/>
  <c r="J120" i="2"/>
  <c r="J218" i="2" s="1"/>
  <c r="I120" i="2"/>
  <c r="G26" i="2"/>
  <c r="E184" i="2"/>
  <c r="K21" i="2"/>
  <c r="J196" i="2"/>
  <c r="G196" i="2"/>
  <c r="G195" i="2"/>
  <c r="F26" i="2"/>
  <c r="C21" i="2"/>
  <c r="C12" i="2"/>
  <c r="C7" i="2"/>
  <c r="F8" i="2" s="1"/>
  <c r="L230" i="2"/>
  <c r="F120" i="2"/>
  <c r="F119" i="2"/>
  <c r="C77" i="2" s="1"/>
  <c r="I119" i="2"/>
  <c r="C79" i="2" s="1"/>
  <c r="F73" i="2"/>
  <c r="AS219" i="2" l="1"/>
  <c r="N17" i="5"/>
  <c r="D21" i="5" s="1"/>
  <c r="D22" i="5" s="1"/>
  <c r="P219" i="2"/>
  <c r="P274" i="2" s="1"/>
  <c r="N219" i="2"/>
  <c r="N274" i="2" s="1"/>
  <c r="I219" i="2"/>
  <c r="O219" i="2"/>
  <c r="O274" i="2" s="1"/>
  <c r="M219" i="2"/>
  <c r="M274" i="2" s="1"/>
  <c r="J219" i="2"/>
  <c r="J274" i="2" s="1"/>
  <c r="J276" i="2" s="1"/>
  <c r="F219" i="2"/>
  <c r="G219" i="2"/>
  <c r="C27" i="2"/>
  <c r="F107" i="2" s="1"/>
  <c r="H219" i="2"/>
  <c r="K219" i="2"/>
  <c r="K274" i="2" s="1"/>
  <c r="H120" i="2"/>
  <c r="H121" i="2" s="1"/>
  <c r="R219" i="2"/>
  <c r="R274" i="2" s="1"/>
  <c r="S219" i="2"/>
  <c r="S274" i="2" s="1"/>
  <c r="Q219" i="2"/>
  <c r="Q274" i="2" s="1"/>
  <c r="T219" i="2"/>
  <c r="T274" i="2" s="1"/>
  <c r="C26" i="2"/>
  <c r="F106" i="2" s="1"/>
  <c r="K20" i="2"/>
  <c r="C81" i="2"/>
  <c r="C78" i="2"/>
  <c r="F195" i="2"/>
  <c r="F215" i="2" s="1"/>
  <c r="I121" i="2"/>
  <c r="F121" i="2"/>
  <c r="G120" i="2"/>
  <c r="G121" i="2" s="1"/>
  <c r="O28" i="5"/>
  <c r="AA28" i="5" s="1"/>
  <c r="AM28" i="5" s="1"/>
  <c r="AY28" i="5" s="1"/>
  <c r="BK28" i="5" s="1"/>
  <c r="BW28" i="5" s="1"/>
  <c r="CI28" i="5" s="1"/>
  <c r="CU28" i="5" s="1"/>
  <c r="DG28" i="5" s="1"/>
  <c r="B31" i="5"/>
  <c r="B33" i="5" s="1"/>
  <c r="B40" i="5"/>
  <c r="A39" i="5"/>
  <c r="D37" i="5"/>
  <c r="E35" i="5"/>
  <c r="C29" i="5"/>
  <c r="Y28" i="5"/>
  <c r="AK28" i="5" s="1"/>
  <c r="AW28" i="5" s="1"/>
  <c r="BI28" i="5" s="1"/>
  <c r="BU28" i="5" s="1"/>
  <c r="CG28" i="5" s="1"/>
  <c r="CS28" i="5" s="1"/>
  <c r="DE28" i="5" s="1"/>
  <c r="DQ28" i="5" s="1"/>
  <c r="X28" i="5"/>
  <c r="AJ28" i="5" s="1"/>
  <c r="AV28" i="5" s="1"/>
  <c r="BH28" i="5" s="1"/>
  <c r="BT28" i="5" s="1"/>
  <c r="CF28" i="5" s="1"/>
  <c r="CR28" i="5" s="1"/>
  <c r="DD28" i="5" s="1"/>
  <c r="DP28" i="5" s="1"/>
  <c r="W28" i="5"/>
  <c r="AI28" i="5" s="1"/>
  <c r="AU28" i="5" s="1"/>
  <c r="BG28" i="5" s="1"/>
  <c r="BS28" i="5" s="1"/>
  <c r="CE28" i="5" s="1"/>
  <c r="CQ28" i="5" s="1"/>
  <c r="DC28" i="5" s="1"/>
  <c r="DO28" i="5" s="1"/>
  <c r="V28" i="5"/>
  <c r="AH28" i="5" s="1"/>
  <c r="AT28" i="5" s="1"/>
  <c r="BF28" i="5" s="1"/>
  <c r="BR28" i="5" s="1"/>
  <c r="CD28" i="5" s="1"/>
  <c r="CP28" i="5" s="1"/>
  <c r="DB28" i="5" s="1"/>
  <c r="DN28" i="5" s="1"/>
  <c r="U28" i="5"/>
  <c r="AG28" i="5" s="1"/>
  <c r="AS28" i="5" s="1"/>
  <c r="BE28" i="5" s="1"/>
  <c r="BQ28" i="5" s="1"/>
  <c r="CC28" i="5" s="1"/>
  <c r="CO28" i="5" s="1"/>
  <c r="DA28" i="5" s="1"/>
  <c r="DM28" i="5" s="1"/>
  <c r="T28" i="5"/>
  <c r="AF28" i="5" s="1"/>
  <c r="AR28" i="5" s="1"/>
  <c r="BD28" i="5" s="1"/>
  <c r="BP28" i="5" s="1"/>
  <c r="CB28" i="5" s="1"/>
  <c r="CN28" i="5" s="1"/>
  <c r="CZ28" i="5" s="1"/>
  <c r="DL28" i="5" s="1"/>
  <c r="S28" i="5"/>
  <c r="AE28" i="5" s="1"/>
  <c r="AQ28" i="5" s="1"/>
  <c r="BC28" i="5" s="1"/>
  <c r="BO28" i="5" s="1"/>
  <c r="CA28" i="5" s="1"/>
  <c r="CM28" i="5" s="1"/>
  <c r="CY28" i="5" s="1"/>
  <c r="DK28" i="5" s="1"/>
  <c r="R28" i="5"/>
  <c r="AD28" i="5" s="1"/>
  <c r="AP28" i="5" s="1"/>
  <c r="BB28" i="5" s="1"/>
  <c r="BN28" i="5" s="1"/>
  <c r="BZ28" i="5" s="1"/>
  <c r="CL28" i="5" s="1"/>
  <c r="CX28" i="5" s="1"/>
  <c r="DJ28" i="5" s="1"/>
  <c r="Q28" i="5"/>
  <c r="AC28" i="5" s="1"/>
  <c r="AO28" i="5" s="1"/>
  <c r="BA28" i="5" s="1"/>
  <c r="BM28" i="5" s="1"/>
  <c r="BY28" i="5" s="1"/>
  <c r="CK28" i="5" s="1"/>
  <c r="CW28" i="5" s="1"/>
  <c r="DI28" i="5" s="1"/>
  <c r="P28" i="5"/>
  <c r="AB28" i="5" s="1"/>
  <c r="AN28" i="5" s="1"/>
  <c r="AZ28" i="5" s="1"/>
  <c r="BL28" i="5" s="1"/>
  <c r="BX28" i="5" s="1"/>
  <c r="CJ28" i="5" s="1"/>
  <c r="CV28" i="5" s="1"/>
  <c r="DH28" i="5" s="1"/>
  <c r="N28" i="5"/>
  <c r="D29" i="5" l="1"/>
  <c r="F35" i="5"/>
  <c r="E37" i="5"/>
  <c r="C280" i="2"/>
  <c r="C89" i="2"/>
  <c r="X219" i="2"/>
  <c r="X274" i="2" s="1"/>
  <c r="W219" i="2"/>
  <c r="W274" i="2" s="1"/>
  <c r="U219" i="2"/>
  <c r="U274" i="2" s="1"/>
  <c r="V219" i="2"/>
  <c r="V274" i="2" s="1"/>
  <c r="C87" i="2"/>
  <c r="F217" i="2"/>
  <c r="C88" i="2"/>
  <c r="B39" i="5"/>
  <c r="Z28" i="5"/>
  <c r="E29" i="5"/>
  <c r="F37" i="5" l="1"/>
  <c r="G35" i="5"/>
  <c r="Z219" i="2"/>
  <c r="Z274" i="2" s="1"/>
  <c r="Y219" i="2"/>
  <c r="Y274" i="2" s="1"/>
  <c r="AA219" i="2"/>
  <c r="AA274" i="2" s="1"/>
  <c r="AB219" i="2"/>
  <c r="AB274" i="2" s="1"/>
  <c r="AL28" i="5"/>
  <c r="AX28" i="5" s="1"/>
  <c r="BJ28" i="5" s="1"/>
  <c r="BV28" i="5" s="1"/>
  <c r="CH28" i="5" s="1"/>
  <c r="CT28" i="5" s="1"/>
  <c r="DF28" i="5" s="1"/>
  <c r="DR28" i="5" s="1"/>
  <c r="F29" i="5"/>
  <c r="G37" i="5" l="1"/>
  <c r="H35" i="5"/>
  <c r="AF219" i="2"/>
  <c r="AF274" i="2" s="1"/>
  <c r="AC219" i="2"/>
  <c r="AC274" i="2" s="1"/>
  <c r="AE219" i="2"/>
  <c r="AE274" i="2" s="1"/>
  <c r="AD219" i="2"/>
  <c r="AD274" i="2" s="1"/>
  <c r="G29" i="5"/>
  <c r="H37" i="5" l="1"/>
  <c r="I35" i="5"/>
  <c r="AH219" i="2"/>
  <c r="AH274" i="2" s="1"/>
  <c r="AI219" i="2"/>
  <c r="AI274" i="2" s="1"/>
  <c r="AG219" i="2"/>
  <c r="AG274" i="2" s="1"/>
  <c r="AJ219" i="2"/>
  <c r="AJ274" i="2" s="1"/>
  <c r="H29" i="5"/>
  <c r="J35" i="5" l="1"/>
  <c r="I37" i="5"/>
  <c r="AN219" i="2"/>
  <c r="AN274" i="2" s="1"/>
  <c r="AM219" i="2"/>
  <c r="AM274" i="2" s="1"/>
  <c r="AK219" i="2"/>
  <c r="AK274" i="2" s="1"/>
  <c r="AL219" i="2"/>
  <c r="AL274" i="2" s="1"/>
  <c r="I29" i="5"/>
  <c r="J37" i="5" l="1"/>
  <c r="K35" i="5"/>
  <c r="AR219" i="2"/>
  <c r="AR274" i="2" s="1"/>
  <c r="AP219" i="2"/>
  <c r="AP274" i="2" s="1"/>
  <c r="AO219" i="2"/>
  <c r="AO274" i="2" s="1"/>
  <c r="AQ219" i="2"/>
  <c r="AQ274" i="2" s="1"/>
  <c r="J29" i="5"/>
  <c r="L35" i="5" l="1"/>
  <c r="K37" i="5"/>
  <c r="AY219" i="2"/>
  <c r="AU219" i="2"/>
  <c r="AU274" i="2" s="1"/>
  <c r="AW219" i="2"/>
  <c r="AW274" i="2" s="1"/>
  <c r="AS274" i="2"/>
  <c r="AT219" i="2"/>
  <c r="AT274" i="2" s="1"/>
  <c r="AX219" i="2"/>
  <c r="AZ219" i="2"/>
  <c r="AV219" i="2"/>
  <c r="AV274" i="2" s="1"/>
  <c r="K29" i="5"/>
  <c r="L37" i="5" l="1"/>
  <c r="C279" i="2"/>
  <c r="L29" i="5"/>
  <c r="M29" i="5" l="1"/>
  <c r="N29" i="5" l="1"/>
  <c r="O29" i="5" l="1"/>
  <c r="P29" i="5" l="1"/>
  <c r="Q29" i="5" l="1"/>
  <c r="R29" i="5" l="1"/>
  <c r="S29" i="5" l="1"/>
  <c r="T29" i="5" l="1"/>
  <c r="U29" i="5" l="1"/>
  <c r="V29" i="5" l="1"/>
  <c r="W29" i="5" l="1"/>
  <c r="X29" i="5" l="1"/>
  <c r="Y29" i="5" l="1"/>
  <c r="Z29" i="5" l="1"/>
  <c r="AA29" i="5" l="1"/>
  <c r="AB29" i="5" l="1"/>
  <c r="AC29" i="5" l="1"/>
  <c r="AD29" i="5" l="1"/>
  <c r="AE29" i="5" l="1"/>
  <c r="AF29" i="5" l="1"/>
  <c r="AG29" i="5" l="1"/>
  <c r="AH29" i="5" l="1"/>
  <c r="AI29" i="5" l="1"/>
  <c r="AJ29" i="5" l="1"/>
  <c r="AK29" i="5" l="1"/>
  <c r="AL29" i="5" l="1"/>
  <c r="AM29" i="5" l="1"/>
  <c r="AN29" i="5" l="1"/>
  <c r="AO29" i="5" l="1"/>
  <c r="AP29" i="5" l="1"/>
  <c r="AQ29" i="5" l="1"/>
  <c r="AR29" i="5" l="1"/>
  <c r="AS29" i="5" l="1"/>
  <c r="AT29" i="5" l="1"/>
  <c r="AU29" i="5" l="1"/>
  <c r="AV29" i="5" l="1"/>
  <c r="AW29" i="5" l="1"/>
  <c r="AX29" i="5" l="1"/>
  <c r="AY29" i="5" l="1"/>
  <c r="AZ29" i="5" l="1"/>
  <c r="BA29" i="5" l="1"/>
  <c r="BB29" i="5" l="1"/>
  <c r="BC29" i="5" l="1"/>
  <c r="BD29" i="5" l="1"/>
  <c r="BE29" i="5" l="1"/>
  <c r="BF29" i="5" l="1"/>
  <c r="BG29" i="5" l="1"/>
  <c r="BH29" i="5" l="1"/>
  <c r="BI29" i="5" l="1"/>
  <c r="BJ29" i="5" l="1"/>
  <c r="BK29" i="5" l="1"/>
  <c r="BL29" i="5" l="1"/>
  <c r="BM29" i="5" l="1"/>
  <c r="BN29" i="5" l="1"/>
  <c r="BO29" i="5" l="1"/>
  <c r="BP29" i="5" l="1"/>
  <c r="BQ29" i="5" l="1"/>
  <c r="BR29" i="5" l="1"/>
  <c r="BS29" i="5" l="1"/>
  <c r="BT29" i="5" l="1"/>
  <c r="BU29" i="5" l="1"/>
  <c r="BV29" i="5" l="1"/>
  <c r="BW29" i="5" l="1"/>
  <c r="BX29" i="5" l="1"/>
  <c r="BY29" i="5" l="1"/>
  <c r="BZ29" i="5" l="1"/>
  <c r="CA29" i="5" l="1"/>
  <c r="CB29" i="5" l="1"/>
  <c r="CC29" i="5" l="1"/>
  <c r="CD29" i="5" l="1"/>
  <c r="CE29" i="5" l="1"/>
  <c r="CF29" i="5" l="1"/>
  <c r="CG29" i="5" l="1"/>
  <c r="CH29" i="5" l="1"/>
  <c r="CI29" i="5" l="1"/>
  <c r="CJ29" i="5" l="1"/>
  <c r="CK29" i="5" l="1"/>
  <c r="CL29" i="5" l="1"/>
  <c r="CM29" i="5" l="1"/>
  <c r="CN29" i="5" l="1"/>
  <c r="CO29" i="5" l="1"/>
  <c r="CP29" i="5" l="1"/>
  <c r="CQ29" i="5" l="1"/>
  <c r="CR29" i="5" l="1"/>
  <c r="CS29" i="5" l="1"/>
  <c r="CT29" i="5" l="1"/>
  <c r="CU29" i="5" l="1"/>
  <c r="CV29" i="5" l="1"/>
  <c r="CW29" i="5" l="1"/>
  <c r="CX29" i="5" l="1"/>
  <c r="CY29" i="5" l="1"/>
  <c r="CZ29" i="5" l="1"/>
  <c r="DA29" i="5" l="1"/>
  <c r="DB29" i="5" l="1"/>
  <c r="DC29" i="5" l="1"/>
  <c r="DD29" i="5" l="1"/>
  <c r="DE29" i="5" l="1"/>
  <c r="DF29" i="5" l="1"/>
  <c r="DG29" i="5" l="1"/>
  <c r="DH29" i="5" l="1"/>
  <c r="DI29" i="5" l="1"/>
  <c r="DJ29" i="5" l="1"/>
  <c r="DK29" i="5" l="1"/>
  <c r="DL29" i="5" l="1"/>
  <c r="DM29" i="5" l="1"/>
  <c r="DN29" i="5" l="1"/>
  <c r="DO29" i="5" l="1"/>
  <c r="DP29" i="5" l="1"/>
  <c r="DQ29" i="5" l="1"/>
  <c r="DR29" i="5" l="1"/>
  <c r="H230" i="2" l="1"/>
  <c r="I230" i="2" s="1"/>
  <c r="J230" i="2" s="1"/>
  <c r="H264" i="2"/>
  <c r="G252" i="2"/>
  <c r="BC226" i="2"/>
  <c r="BC219" i="2"/>
  <c r="BC218" i="2"/>
  <c r="BC215" i="2"/>
  <c r="BC214" i="2"/>
  <c r="BC213" i="2"/>
  <c r="BC211" i="2"/>
  <c r="BC210" i="2"/>
  <c r="BC206" i="2"/>
  <c r="BC204" i="2"/>
  <c r="BC203" i="2"/>
  <c r="BC202" i="2"/>
  <c r="BC201" i="2"/>
  <c r="BC199" i="2"/>
  <c r="BE164" i="2"/>
  <c r="BC208" i="2"/>
  <c r="BC197" i="2"/>
  <c r="BC196" i="2"/>
  <c r="BC195" i="2"/>
  <c r="BC193" i="2"/>
  <c r="BC189" i="2"/>
  <c r="BC187" i="2"/>
  <c r="BC186" i="2"/>
  <c r="BC200" i="2"/>
  <c r="BC185" i="2"/>
  <c r="BC184" i="2"/>
  <c r="BC183" i="2"/>
  <c r="BC182" i="2"/>
  <c r="BC179" i="2"/>
  <c r="BC176" i="2"/>
  <c r="BC177" i="2"/>
  <c r="BC175" i="2"/>
  <c r="BC170" i="2"/>
  <c r="BC168" i="2"/>
  <c r="BC167" i="2"/>
  <c r="F230" i="2"/>
  <c r="AM230" i="2" s="1"/>
  <c r="J96" i="2"/>
  <c r="K96" i="2"/>
  <c r="C23" i="2"/>
  <c r="C6" i="2"/>
  <c r="N6" i="2" s="1"/>
  <c r="J15" i="2"/>
  <c r="G175" i="2" l="1"/>
  <c r="J175" i="2"/>
  <c r="I175" i="2"/>
  <c r="H175" i="2"/>
  <c r="C22" i="2"/>
  <c r="C28" i="2"/>
  <c r="F108" i="2" s="1"/>
  <c r="N7" i="2"/>
  <c r="N9" i="2" s="1"/>
  <c r="AG230" i="2"/>
  <c r="AN230" i="2"/>
  <c r="AD230" i="2"/>
  <c r="AE230" i="2"/>
  <c r="AF230" i="2"/>
  <c r="AO230" i="2"/>
  <c r="BF164" i="2"/>
  <c r="AP230" i="2"/>
  <c r="O230" i="2"/>
  <c r="AQ230" i="2"/>
  <c r="P230" i="2"/>
  <c r="AR230" i="2"/>
  <c r="Q230" i="2"/>
  <c r="AS230" i="2"/>
  <c r="X230" i="2"/>
  <c r="AT230" i="2"/>
  <c r="N8" i="2"/>
  <c r="Y230" i="2"/>
  <c r="AU230" i="2"/>
  <c r="Z230" i="2"/>
  <c r="AV230" i="2"/>
  <c r="AA230" i="2"/>
  <c r="AW230" i="2"/>
  <c r="AB230" i="2"/>
  <c r="AC230" i="2"/>
  <c r="S230" i="2"/>
  <c r="AI230" i="2"/>
  <c r="AY230" i="2"/>
  <c r="T230" i="2"/>
  <c r="AJ230" i="2"/>
  <c r="AZ230" i="2"/>
  <c r="R230" i="2"/>
  <c r="AX230" i="2"/>
  <c r="U230" i="2"/>
  <c r="AK230" i="2"/>
  <c r="AH230" i="2"/>
  <c r="V230" i="2"/>
  <c r="AL230" i="2"/>
  <c r="W230" i="2"/>
  <c r="M230" i="2"/>
  <c r="N230" i="2" s="1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I195" i="2"/>
  <c r="H195" i="2"/>
  <c r="I218" i="2"/>
  <c r="I237" i="2" s="1"/>
  <c r="N13" i="2" l="1"/>
  <c r="E211" i="2"/>
  <c r="F109" i="2"/>
  <c r="C29" i="2"/>
  <c r="C58" i="2"/>
  <c r="J7" i="2" s="1"/>
  <c r="BD218" i="2"/>
  <c r="J237" i="2"/>
  <c r="BG164" i="2"/>
  <c r="G215" i="2"/>
  <c r="H215" i="2" s="1"/>
  <c r="I215" i="2" s="1"/>
  <c r="H218" i="2"/>
  <c r="H237" i="2" s="1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I196" i="2"/>
  <c r="H196" i="2"/>
  <c r="F197" i="2"/>
  <c r="C73" i="2"/>
  <c r="K210" i="2" s="1"/>
  <c r="C62" i="2"/>
  <c r="F116" i="2"/>
  <c r="F199" i="2" s="1"/>
  <c r="F97" i="2"/>
  <c r="F114" i="2" s="1"/>
  <c r="C54" i="2"/>
  <c r="C37" i="2"/>
  <c r="C31" i="2"/>
  <c r="L21" i="2"/>
  <c r="M21" i="2"/>
  <c r="C53" i="2"/>
  <c r="F185" i="2"/>
  <c r="F184" i="2"/>
  <c r="F162" i="2"/>
  <c r="F145" i="2"/>
  <c r="F206" i="2" s="1"/>
  <c r="F170" i="2"/>
  <c r="C38" i="2"/>
  <c r="N14" i="2" l="1"/>
  <c r="F183" i="2"/>
  <c r="F201" i="2"/>
  <c r="G203" i="2" s="1"/>
  <c r="K22" i="2"/>
  <c r="J6" i="2"/>
  <c r="BH164" i="2"/>
  <c r="G97" i="2"/>
  <c r="M17" i="5" s="1"/>
  <c r="F115" i="2"/>
  <c r="G218" i="2"/>
  <c r="G237" i="2" s="1"/>
  <c r="F141" i="2"/>
  <c r="C39" i="2"/>
  <c r="C41" i="2"/>
  <c r="L210" i="2"/>
  <c r="M210" i="2" l="1"/>
  <c r="J119" i="2"/>
  <c r="C80" i="2" s="1"/>
  <c r="C76" i="2" s="1"/>
  <c r="L22" i="2"/>
  <c r="M22" i="2" s="1"/>
  <c r="K23" i="2"/>
  <c r="F158" i="2"/>
  <c r="G247" i="2"/>
  <c r="G115" i="2"/>
  <c r="G116" i="2" s="1"/>
  <c r="G114" i="2"/>
  <c r="BI164" i="2"/>
  <c r="G217" i="2"/>
  <c r="H217" i="2" s="1"/>
  <c r="H97" i="2"/>
  <c r="H259" i="2" s="1"/>
  <c r="M18" i="5" s="1"/>
  <c r="F143" i="2"/>
  <c r="G184" i="2"/>
  <c r="F28" i="2"/>
  <c r="G28" i="2"/>
  <c r="K98" i="2"/>
  <c r="M96" i="2"/>
  <c r="N96" i="2"/>
  <c r="L96" i="2"/>
  <c r="M20" i="2" l="1"/>
  <c r="M23" i="2" s="1"/>
  <c r="K24" i="2"/>
  <c r="N210" i="2"/>
  <c r="J121" i="2"/>
  <c r="C90" i="2" s="1"/>
  <c r="J195" i="2"/>
  <c r="J215" i="2" s="1"/>
  <c r="G199" i="2"/>
  <c r="G201" i="2"/>
  <c r="F29" i="2"/>
  <c r="L20" i="2"/>
  <c r="G29" i="2"/>
  <c r="BJ164" i="2"/>
  <c r="H114" i="2"/>
  <c r="H247" i="2"/>
  <c r="I97" i="2"/>
  <c r="H115" i="2"/>
  <c r="I217" i="2"/>
  <c r="I226" i="2" s="1"/>
  <c r="F103" i="2"/>
  <c r="F102" i="2"/>
  <c r="P96" i="2"/>
  <c r="Q96" i="2"/>
  <c r="O96" i="2"/>
  <c r="R96" i="2"/>
  <c r="E176" i="2"/>
  <c r="L23" i="2" l="1"/>
  <c r="O210" i="2"/>
  <c r="J217" i="2"/>
  <c r="K217" i="2" s="1"/>
  <c r="BK164" i="2"/>
  <c r="I114" i="2"/>
  <c r="I259" i="2"/>
  <c r="I247" i="2"/>
  <c r="J97" i="2"/>
  <c r="J271" i="2" s="1"/>
  <c r="I115" i="2"/>
  <c r="M24" i="2"/>
  <c r="G103" i="2"/>
  <c r="G104" i="2" s="1"/>
  <c r="G106" i="2" s="1"/>
  <c r="G102" i="2"/>
  <c r="V96" i="2"/>
  <c r="S96" i="2"/>
  <c r="U96" i="2"/>
  <c r="T96" i="2"/>
  <c r="F101" i="2"/>
  <c r="L24" i="2" l="1"/>
  <c r="I271" i="2"/>
  <c r="P210" i="2"/>
  <c r="J226" i="2"/>
  <c r="J259" i="2"/>
  <c r="J247" i="2"/>
  <c r="J114" i="2"/>
  <c r="BL164" i="2"/>
  <c r="K97" i="2"/>
  <c r="K271" i="2" s="1"/>
  <c r="J115" i="2"/>
  <c r="F113" i="2"/>
  <c r="G101" i="2"/>
  <c r="H116" i="2"/>
  <c r="H103" i="2"/>
  <c r="H102" i="2"/>
  <c r="H184" i="2"/>
  <c r="W96" i="2"/>
  <c r="X96" i="2"/>
  <c r="Y96" i="2"/>
  <c r="Z96" i="2"/>
  <c r="G107" i="2"/>
  <c r="G108" i="2"/>
  <c r="M19" i="5" l="1"/>
  <c r="Q210" i="2"/>
  <c r="K226" i="2"/>
  <c r="K114" i="2"/>
  <c r="K259" i="2"/>
  <c r="K247" i="2"/>
  <c r="BM164" i="2"/>
  <c r="G168" i="2"/>
  <c r="G177" i="2" s="1"/>
  <c r="G167" i="2"/>
  <c r="J116" i="2"/>
  <c r="L97" i="2"/>
  <c r="L271" i="2" s="1"/>
  <c r="K115" i="2"/>
  <c r="J113" i="2" s="1"/>
  <c r="G113" i="2"/>
  <c r="AB96" i="2"/>
  <c r="AD96" i="2"/>
  <c r="AC96" i="2"/>
  <c r="AA96" i="2"/>
  <c r="G109" i="2"/>
  <c r="O7" i="2"/>
  <c r="O9" i="2"/>
  <c r="O12" i="2"/>
  <c r="O10" i="2"/>
  <c r="O11" i="2"/>
  <c r="R210" i="2" l="1"/>
  <c r="J199" i="2"/>
  <c r="J201" i="2"/>
  <c r="K203" i="2" s="1"/>
  <c r="L259" i="2"/>
  <c r="L247" i="2"/>
  <c r="L114" i="2"/>
  <c r="G170" i="2"/>
  <c r="G171" i="2" s="1"/>
  <c r="M97" i="2"/>
  <c r="M271" i="2" s="1"/>
  <c r="L115" i="2"/>
  <c r="F147" i="2"/>
  <c r="AH96" i="2"/>
  <c r="AE96" i="2"/>
  <c r="AG96" i="2"/>
  <c r="AF96" i="2"/>
  <c r="S210" i="2" l="1"/>
  <c r="M259" i="2"/>
  <c r="M114" i="2"/>
  <c r="M247" i="2"/>
  <c r="N97" i="2"/>
  <c r="N271" i="2" s="1"/>
  <c r="M115" i="2"/>
  <c r="AJ96" i="2"/>
  <c r="AI96" i="2"/>
  <c r="AK96" i="2"/>
  <c r="AL96" i="2"/>
  <c r="F171" i="2"/>
  <c r="F235" i="2"/>
  <c r="M16" i="5" l="1"/>
  <c r="D15" i="5" s="1"/>
  <c r="T210" i="2"/>
  <c r="N259" i="2"/>
  <c r="N114" i="2"/>
  <c r="N247" i="2"/>
  <c r="O97" i="2"/>
  <c r="O271" i="2" s="1"/>
  <c r="N115" i="2"/>
  <c r="AM96" i="2"/>
  <c r="AP96" i="2"/>
  <c r="AO96" i="2"/>
  <c r="AN96" i="2"/>
  <c r="N98" i="2"/>
  <c r="M98" i="2"/>
  <c r="L98" i="2"/>
  <c r="B30" i="5" l="1"/>
  <c r="U210" i="2"/>
  <c r="O259" i="2"/>
  <c r="O114" i="2"/>
  <c r="O247" i="2"/>
  <c r="P97" i="2"/>
  <c r="P271" i="2" s="1"/>
  <c r="O115" i="2"/>
  <c r="AS96" i="2"/>
  <c r="AR96" i="2"/>
  <c r="AT96" i="2"/>
  <c r="AQ96" i="2"/>
  <c r="P98" i="2"/>
  <c r="Q98" i="2"/>
  <c r="R98" i="2"/>
  <c r="O98" i="2"/>
  <c r="G235" i="2"/>
  <c r="C36" i="5" l="1"/>
  <c r="D36" i="5" s="1"/>
  <c r="E36" i="5" s="1"/>
  <c r="F36" i="5" s="1"/>
  <c r="G36" i="5" s="1"/>
  <c r="H36" i="5" s="1"/>
  <c r="I36" i="5" s="1"/>
  <c r="J36" i="5" s="1"/>
  <c r="K36" i="5" s="1"/>
  <c r="L36" i="5" s="1"/>
  <c r="C30" i="5"/>
  <c r="D30" i="5" s="1"/>
  <c r="E30" i="5" s="1"/>
  <c r="V210" i="2"/>
  <c r="P259" i="2"/>
  <c r="P114" i="2"/>
  <c r="P247" i="2"/>
  <c r="Q97" i="2"/>
  <c r="Q271" i="2" s="1"/>
  <c r="P115" i="2"/>
  <c r="AU96" i="2"/>
  <c r="AX96" i="2"/>
  <c r="AV96" i="2"/>
  <c r="AW96" i="2"/>
  <c r="S98" i="2"/>
  <c r="T98" i="2"/>
  <c r="W210" i="2" l="1"/>
  <c r="F30" i="5"/>
  <c r="Q114" i="2"/>
  <c r="Q247" i="2"/>
  <c r="Q259" i="2"/>
  <c r="R97" i="2"/>
  <c r="R271" i="2" s="1"/>
  <c r="Q115" i="2"/>
  <c r="AZ96" i="2"/>
  <c r="AY96" i="2"/>
  <c r="W98" i="2"/>
  <c r="X98" i="2"/>
  <c r="V98" i="2"/>
  <c r="X210" i="2" l="1"/>
  <c r="R114" i="2"/>
  <c r="R247" i="2"/>
  <c r="R259" i="2"/>
  <c r="G30" i="5"/>
  <c r="S97" i="2"/>
  <c r="S271" i="2" s="1"/>
  <c r="R115" i="2"/>
  <c r="H104" i="2"/>
  <c r="Z98" i="2"/>
  <c r="AB98" i="2"/>
  <c r="AA98" i="2"/>
  <c r="H101" i="2"/>
  <c r="U98" i="2"/>
  <c r="Y210" i="2" l="1"/>
  <c r="H30" i="5"/>
  <c r="S114" i="2"/>
  <c r="S259" i="2"/>
  <c r="S247" i="2"/>
  <c r="T97" i="2"/>
  <c r="T271" i="2" s="1"/>
  <c r="S115" i="2"/>
  <c r="H106" i="2"/>
  <c r="H107" i="2"/>
  <c r="H168" i="2" s="1"/>
  <c r="H108" i="2"/>
  <c r="AE98" i="2"/>
  <c r="AF98" i="2"/>
  <c r="AD98" i="2"/>
  <c r="Y98" i="2"/>
  <c r="F175" i="2"/>
  <c r="F180" i="2"/>
  <c r="E173" i="2"/>
  <c r="F173" i="2" s="1"/>
  <c r="G173" i="2" s="1"/>
  <c r="H173" i="2" s="1"/>
  <c r="Z210" i="2" l="1"/>
  <c r="T114" i="2"/>
  <c r="T247" i="2"/>
  <c r="T259" i="2"/>
  <c r="I30" i="5"/>
  <c r="G176" i="2"/>
  <c r="H177" i="2"/>
  <c r="U97" i="2"/>
  <c r="U271" i="2" s="1"/>
  <c r="T115" i="2"/>
  <c r="H109" i="2"/>
  <c r="H167" i="2"/>
  <c r="AJ98" i="2"/>
  <c r="AI98" i="2"/>
  <c r="AH98" i="2"/>
  <c r="AC98" i="2"/>
  <c r="F95" i="2"/>
  <c r="F165" i="2" s="1"/>
  <c r="AA210" i="2" l="1"/>
  <c r="U114" i="2"/>
  <c r="U247" i="2"/>
  <c r="U259" i="2"/>
  <c r="J30" i="5"/>
  <c r="H176" i="2"/>
  <c r="H170" i="2"/>
  <c r="H171" i="2" s="1"/>
  <c r="V97" i="2"/>
  <c r="V271" i="2" s="1"/>
  <c r="U115" i="2"/>
  <c r="AL98" i="2"/>
  <c r="AN98" i="2"/>
  <c r="AM98" i="2"/>
  <c r="AG98" i="2"/>
  <c r="AB210" i="2" l="1"/>
  <c r="V247" i="2"/>
  <c r="V114" i="2"/>
  <c r="V259" i="2"/>
  <c r="K30" i="5"/>
  <c r="H179" i="2"/>
  <c r="H180" i="2" s="1"/>
  <c r="W97" i="2"/>
  <c r="W271" i="2" s="1"/>
  <c r="V115" i="2"/>
  <c r="AQ98" i="2"/>
  <c r="AR98" i="2"/>
  <c r="AP98" i="2"/>
  <c r="AK98" i="2"/>
  <c r="G179" i="2"/>
  <c r="G180" i="2" s="1"/>
  <c r="AC210" i="2" l="1"/>
  <c r="W247" i="2"/>
  <c r="W114" i="2"/>
  <c r="W259" i="2"/>
  <c r="L30" i="5"/>
  <c r="X97" i="2"/>
  <c r="X271" i="2" s="1"/>
  <c r="W115" i="2"/>
  <c r="AV98" i="2"/>
  <c r="AT98" i="2"/>
  <c r="AU98" i="2"/>
  <c r="AO98" i="2"/>
  <c r="AD210" i="2" l="1"/>
  <c r="X247" i="2"/>
  <c r="X259" i="2"/>
  <c r="X114" i="2"/>
  <c r="M30" i="5"/>
  <c r="Y97" i="2"/>
  <c r="Y271" i="2" s="1"/>
  <c r="X115" i="2"/>
  <c r="AX98" i="2"/>
  <c r="AY98" i="2"/>
  <c r="AZ98" i="2"/>
  <c r="AS98" i="2"/>
  <c r="AE210" i="2" l="1"/>
  <c r="N30" i="5"/>
  <c r="Y114" i="2"/>
  <c r="Y259" i="2"/>
  <c r="Y247" i="2"/>
  <c r="Z97" i="2"/>
  <c r="Z271" i="2" s="1"/>
  <c r="Y115" i="2"/>
  <c r="AW98" i="2"/>
  <c r="BJ195" i="2" s="1"/>
  <c r="G95" i="2"/>
  <c r="G165" i="2" s="1"/>
  <c r="BH219" i="2" l="1"/>
  <c r="BH227" i="2" s="1"/>
  <c r="BE219" i="2"/>
  <c r="BE227" i="2" s="1"/>
  <c r="BF219" i="2"/>
  <c r="BF227" i="2" s="1"/>
  <c r="BG219" i="2"/>
  <c r="BG227" i="2" s="1"/>
  <c r="BM219" i="2"/>
  <c r="BM227" i="2" s="1"/>
  <c r="BK219" i="2"/>
  <c r="BK227" i="2" s="1"/>
  <c r="BJ219" i="2"/>
  <c r="BJ227" i="2" s="1"/>
  <c r="BL219" i="2"/>
  <c r="BL227" i="2" s="1"/>
  <c r="BI219" i="2"/>
  <c r="BI227" i="2" s="1"/>
  <c r="AF210" i="2"/>
  <c r="BI210" i="2"/>
  <c r="BG195" i="2"/>
  <c r="BE210" i="2"/>
  <c r="BE187" i="2"/>
  <c r="BE196" i="2"/>
  <c r="BF195" i="2"/>
  <c r="BG196" i="2"/>
  <c r="BK187" i="2"/>
  <c r="BG187" i="2"/>
  <c r="BI187" i="2"/>
  <c r="BF187" i="2"/>
  <c r="BL187" i="2"/>
  <c r="BJ196" i="2"/>
  <c r="BG210" i="2"/>
  <c r="BK195" i="2"/>
  <c r="BF196" i="2"/>
  <c r="BH187" i="2"/>
  <c r="BK196" i="2"/>
  <c r="BM195" i="2"/>
  <c r="BH195" i="2"/>
  <c r="BI195" i="2"/>
  <c r="BH196" i="2"/>
  <c r="Z114" i="2"/>
  <c r="Z247" i="2"/>
  <c r="Z259" i="2"/>
  <c r="BD195" i="2"/>
  <c r="BM187" i="2"/>
  <c r="BI196" i="2"/>
  <c r="BJ187" i="2"/>
  <c r="O30" i="5"/>
  <c r="BM196" i="2"/>
  <c r="BL196" i="2"/>
  <c r="BL195" i="2"/>
  <c r="BH210" i="2"/>
  <c r="BF210" i="2"/>
  <c r="AA97" i="2"/>
  <c r="AA271" i="2" s="1"/>
  <c r="Z115" i="2"/>
  <c r="E11" i="4"/>
  <c r="E9" i="4"/>
  <c r="E10" i="4"/>
  <c r="D10" i="4"/>
  <c r="AG210" i="2" l="1"/>
  <c r="AA247" i="2"/>
  <c r="AA259" i="2"/>
  <c r="AA114" i="2"/>
  <c r="P30" i="5"/>
  <c r="AB97" i="2"/>
  <c r="AB271" i="2" s="1"/>
  <c r="AA115" i="2"/>
  <c r="L4" i="3"/>
  <c r="M5" i="3"/>
  <c r="AH210" i="2" l="1"/>
  <c r="BJ210" i="2" s="1"/>
  <c r="Q30" i="5"/>
  <c r="R30" i="5" s="1"/>
  <c r="AB247" i="2"/>
  <c r="AB259" i="2"/>
  <c r="AB114" i="2"/>
  <c r="AC97" i="2"/>
  <c r="AC271" i="2" s="1"/>
  <c r="AB115" i="2"/>
  <c r="L10" i="3"/>
  <c r="AI210" i="2" l="1"/>
  <c r="AC259" i="2"/>
  <c r="AC114" i="2"/>
  <c r="AC247" i="2"/>
  <c r="S30" i="5"/>
  <c r="AD97" i="2"/>
  <c r="AD271" i="2" s="1"/>
  <c r="AC115" i="2"/>
  <c r="D2" i="4"/>
  <c r="F4" i="4" s="1"/>
  <c r="G4" i="4" s="1"/>
  <c r="AJ210" i="2" l="1"/>
  <c r="AD259" i="2"/>
  <c r="AD114" i="2"/>
  <c r="AD247" i="2"/>
  <c r="T30" i="5"/>
  <c r="U30" i="5" s="1"/>
  <c r="AE97" i="2"/>
  <c r="AE271" i="2" s="1"/>
  <c r="AD115" i="2"/>
  <c r="H4" i="4"/>
  <c r="AK210" i="2" l="1"/>
  <c r="AE259" i="2"/>
  <c r="AE114" i="2"/>
  <c r="AE247" i="2"/>
  <c r="V30" i="5"/>
  <c r="AF97" i="2"/>
  <c r="AF271" i="2" s="1"/>
  <c r="AE115" i="2"/>
  <c r="I4" i="4"/>
  <c r="AL210" i="2" l="1"/>
  <c r="BK210" i="2" s="1"/>
  <c r="AF259" i="2"/>
  <c r="AF114" i="2"/>
  <c r="AF247" i="2"/>
  <c r="W30" i="5"/>
  <c r="X30" i="5" s="1"/>
  <c r="AG97" i="2"/>
  <c r="AG271" i="2" s="1"/>
  <c r="AF115" i="2"/>
  <c r="J4" i="4"/>
  <c r="AM210" i="2" l="1"/>
  <c r="AG259" i="2"/>
  <c r="AG114" i="2"/>
  <c r="AG247" i="2"/>
  <c r="Y30" i="5"/>
  <c r="AH97" i="2"/>
  <c r="AH271" i="2" s="1"/>
  <c r="AG115" i="2"/>
  <c r="K4" i="4"/>
  <c r="AN210" i="2" l="1"/>
  <c r="AH114" i="2"/>
  <c r="AH247" i="2"/>
  <c r="AH259" i="2"/>
  <c r="Z30" i="5"/>
  <c r="AA30" i="5" s="1"/>
  <c r="AI97" i="2"/>
  <c r="AI271" i="2" s="1"/>
  <c r="AH115" i="2"/>
  <c r="L4" i="4"/>
  <c r="AO210" i="2" l="1"/>
  <c r="AI259" i="2"/>
  <c r="AI114" i="2"/>
  <c r="AI247" i="2"/>
  <c r="AB30" i="5"/>
  <c r="AJ97" i="2"/>
  <c r="AJ271" i="2" s="1"/>
  <c r="AI115" i="2"/>
  <c r="M4" i="4"/>
  <c r="AP210" i="2" l="1"/>
  <c r="BL210" i="2" s="1"/>
  <c r="AJ114" i="2"/>
  <c r="AJ247" i="2"/>
  <c r="AJ259" i="2"/>
  <c r="AC30" i="5"/>
  <c r="AD30" i="5" s="1"/>
  <c r="AK97" i="2"/>
  <c r="AK271" i="2" s="1"/>
  <c r="AJ115" i="2"/>
  <c r="H235" i="2"/>
  <c r="H95" i="2"/>
  <c r="H165" i="2" s="1"/>
  <c r="N4" i="4"/>
  <c r="AQ210" i="2" l="1"/>
  <c r="AK114" i="2"/>
  <c r="AK247" i="2"/>
  <c r="AK259" i="2"/>
  <c r="AE30" i="5"/>
  <c r="AL97" i="2"/>
  <c r="AL271" i="2" s="1"/>
  <c r="AK115" i="2"/>
  <c r="I116" i="2"/>
  <c r="I103" i="2"/>
  <c r="I102" i="2"/>
  <c r="I184" i="2"/>
  <c r="I235" i="2"/>
  <c r="I95" i="2"/>
  <c r="I165" i="2" s="1"/>
  <c r="O4" i="4"/>
  <c r="AR210" i="2" l="1"/>
  <c r="AF30" i="5"/>
  <c r="AG30" i="5" s="1"/>
  <c r="AL114" i="2"/>
  <c r="AL247" i="2"/>
  <c r="AL259" i="2"/>
  <c r="AM97" i="2"/>
  <c r="AM271" i="2" s="1"/>
  <c r="AL115" i="2"/>
  <c r="J184" i="2"/>
  <c r="I101" i="2"/>
  <c r="H113" i="2"/>
  <c r="J103" i="2"/>
  <c r="J102" i="2"/>
  <c r="I104" i="2"/>
  <c r="I108" i="2" s="1"/>
  <c r="J235" i="2"/>
  <c r="J95" i="2"/>
  <c r="J165" i="2" s="1"/>
  <c r="AS210" i="2" l="1"/>
  <c r="AH30" i="5"/>
  <c r="AM247" i="2"/>
  <c r="AM114" i="2"/>
  <c r="AM259" i="2"/>
  <c r="I173" i="2"/>
  <c r="AN97" i="2"/>
  <c r="AN271" i="2" s="1"/>
  <c r="AM115" i="2"/>
  <c r="K116" i="2"/>
  <c r="I113" i="2"/>
  <c r="K95" i="2"/>
  <c r="K165" i="2" s="1"/>
  <c r="K103" i="2"/>
  <c r="J104" i="2"/>
  <c r="J107" i="2" s="1"/>
  <c r="I107" i="2"/>
  <c r="I168" i="2" s="1"/>
  <c r="I106" i="2"/>
  <c r="I167" i="2" s="1"/>
  <c r="J101" i="2"/>
  <c r="K184" i="2"/>
  <c r="K102" i="2"/>
  <c r="K235" i="2"/>
  <c r="K276" i="2" s="1"/>
  <c r="AT210" i="2" l="1"/>
  <c r="BM210" i="2" s="1"/>
  <c r="I170" i="2"/>
  <c r="AN114" i="2"/>
  <c r="AN259" i="2"/>
  <c r="AN247" i="2"/>
  <c r="AI30" i="5"/>
  <c r="AJ30" i="5" s="1"/>
  <c r="I177" i="2"/>
  <c r="I176" i="2"/>
  <c r="AO97" i="2"/>
  <c r="AO271" i="2" s="1"/>
  <c r="AN115" i="2"/>
  <c r="J168" i="2"/>
  <c r="J177" i="2" s="1"/>
  <c r="K104" i="2"/>
  <c r="L116" i="2"/>
  <c r="L103" i="2"/>
  <c r="J106" i="2"/>
  <c r="J108" i="2"/>
  <c r="I109" i="2"/>
  <c r="L102" i="2"/>
  <c r="J173" i="2"/>
  <c r="K101" i="2"/>
  <c r="L184" i="2"/>
  <c r="L235" i="2"/>
  <c r="L276" i="2" s="1"/>
  <c r="L95" i="2"/>
  <c r="L165" i="2" s="1"/>
  <c r="AU210" i="2" l="1"/>
  <c r="I171" i="2"/>
  <c r="I187" i="2"/>
  <c r="AK30" i="5"/>
  <c r="AO247" i="2"/>
  <c r="AO259" i="2"/>
  <c r="AO114" i="2"/>
  <c r="BD168" i="2"/>
  <c r="BD177" i="2"/>
  <c r="AP97" i="2"/>
  <c r="AP271" i="2" s="1"/>
  <c r="AO115" i="2"/>
  <c r="I179" i="2"/>
  <c r="L104" i="2"/>
  <c r="L106" i="2" s="1"/>
  <c r="BD175" i="2"/>
  <c r="J176" i="2"/>
  <c r="BD176" i="2" s="1"/>
  <c r="K113" i="2"/>
  <c r="K107" i="2"/>
  <c r="K168" i="2" s="1"/>
  <c r="K108" i="2"/>
  <c r="K106" i="2"/>
  <c r="M116" i="2"/>
  <c r="M103" i="2"/>
  <c r="M104" i="2" s="1"/>
  <c r="J167" i="2"/>
  <c r="J170" i="2" s="1"/>
  <c r="J109" i="2"/>
  <c r="K173" i="2"/>
  <c r="K176" i="2" s="1"/>
  <c r="L101" i="2"/>
  <c r="M102" i="2"/>
  <c r="M184" i="2"/>
  <c r="M235" i="2"/>
  <c r="M276" i="2" s="1"/>
  <c r="M95" i="2"/>
  <c r="M165" i="2" s="1"/>
  <c r="AV210" i="2" l="1"/>
  <c r="AL30" i="5"/>
  <c r="AM30" i="5" s="1"/>
  <c r="AP247" i="2"/>
  <c r="AP114" i="2"/>
  <c r="AP259" i="2"/>
  <c r="M106" i="2"/>
  <c r="L107" i="2"/>
  <c r="L168" i="2" s="1"/>
  <c r="L177" i="2" s="1"/>
  <c r="K177" i="2"/>
  <c r="L108" i="2"/>
  <c r="L167" i="2" s="1"/>
  <c r="K167" i="2"/>
  <c r="AQ97" i="2"/>
  <c r="AQ271" i="2" s="1"/>
  <c r="AP115" i="2"/>
  <c r="BD187" i="2"/>
  <c r="L173" i="2"/>
  <c r="L113" i="2"/>
  <c r="K109" i="2"/>
  <c r="N116" i="2"/>
  <c r="N103" i="2"/>
  <c r="N104" i="2" s="1"/>
  <c r="I180" i="2"/>
  <c r="J179" i="2"/>
  <c r="K175" i="2"/>
  <c r="M101" i="2"/>
  <c r="M107" i="2"/>
  <c r="M108" i="2"/>
  <c r="N102" i="2"/>
  <c r="N235" i="2"/>
  <c r="N276" i="2" s="1"/>
  <c r="N184" i="2"/>
  <c r="J171" i="2"/>
  <c r="N95" i="2"/>
  <c r="N165" i="2" s="1"/>
  <c r="AW210" i="2" l="1"/>
  <c r="AN30" i="5"/>
  <c r="AQ247" i="2"/>
  <c r="AQ259" i="2"/>
  <c r="AQ114" i="2"/>
  <c r="L109" i="2"/>
  <c r="K170" i="2"/>
  <c r="K171" i="2" s="1"/>
  <c r="AR97" i="2"/>
  <c r="AR271" i="2" s="1"/>
  <c r="AQ115" i="2"/>
  <c r="M113" i="2"/>
  <c r="J180" i="2"/>
  <c r="L175" i="2"/>
  <c r="L176" i="2"/>
  <c r="O116" i="2"/>
  <c r="O103" i="2"/>
  <c r="O104" i="2" s="1"/>
  <c r="L170" i="2"/>
  <c r="M173" i="2"/>
  <c r="M176" i="2" s="1"/>
  <c r="M168" i="2"/>
  <c r="N101" i="2"/>
  <c r="M109" i="2"/>
  <c r="M167" i="2"/>
  <c r="N107" i="2"/>
  <c r="N106" i="2"/>
  <c r="N108" i="2"/>
  <c r="O102" i="2"/>
  <c r="O184" i="2"/>
  <c r="O235" i="2"/>
  <c r="O276" i="2" s="1"/>
  <c r="O95" i="2"/>
  <c r="O165" i="2" s="1"/>
  <c r="AX210" i="2" l="1"/>
  <c r="AR259" i="2"/>
  <c r="AR114" i="2"/>
  <c r="AR247" i="2"/>
  <c r="AO30" i="5"/>
  <c r="AP30" i="5" s="1"/>
  <c r="K179" i="2"/>
  <c r="M177" i="2"/>
  <c r="AS97" i="2"/>
  <c r="AS271" i="2" s="1"/>
  <c r="AR115" i="2"/>
  <c r="N113" i="2"/>
  <c r="P116" i="2"/>
  <c r="P103" i="2"/>
  <c r="L179" i="2"/>
  <c r="M170" i="2"/>
  <c r="N173" i="2"/>
  <c r="N176" i="2" s="1"/>
  <c r="BE176" i="2" s="1"/>
  <c r="M175" i="2"/>
  <c r="N109" i="2"/>
  <c r="O101" i="2"/>
  <c r="N168" i="2"/>
  <c r="N177" i="2" s="1"/>
  <c r="N167" i="2"/>
  <c r="BE167" i="2" s="1"/>
  <c r="O107" i="2"/>
  <c r="O106" i="2"/>
  <c r="O108" i="2"/>
  <c r="P102" i="2"/>
  <c r="P184" i="2"/>
  <c r="P235" i="2"/>
  <c r="P276" i="2" s="1"/>
  <c r="P95" i="2"/>
  <c r="P165" i="2" s="1"/>
  <c r="E210" i="2" l="1"/>
  <c r="AY210" i="2"/>
  <c r="AS259" i="2"/>
  <c r="AS114" i="2"/>
  <c r="AS247" i="2"/>
  <c r="AQ30" i="5"/>
  <c r="K180" i="2"/>
  <c r="BE177" i="2"/>
  <c r="BE168" i="2"/>
  <c r="BE170" i="2" s="1"/>
  <c r="BD210" i="2"/>
  <c r="AT97" i="2"/>
  <c r="AT271" i="2" s="1"/>
  <c r="AS115" i="2"/>
  <c r="O113" i="2"/>
  <c r="P113" i="2"/>
  <c r="Q103" i="2"/>
  <c r="M179" i="2"/>
  <c r="P104" i="2"/>
  <c r="N170" i="2"/>
  <c r="N175" i="2"/>
  <c r="O173" i="2"/>
  <c r="O176" i="2" s="1"/>
  <c r="O168" i="2"/>
  <c r="P101" i="2"/>
  <c r="O167" i="2"/>
  <c r="O109" i="2"/>
  <c r="Q102" i="2"/>
  <c r="M171" i="2"/>
  <c r="Q184" i="2"/>
  <c r="Q235" i="2"/>
  <c r="Q276" i="2" s="1"/>
  <c r="Q95" i="2"/>
  <c r="Q165" i="2" s="1"/>
  <c r="AZ210" i="2" l="1"/>
  <c r="AT259" i="2"/>
  <c r="AT114" i="2"/>
  <c r="AT247" i="2"/>
  <c r="AR30" i="5"/>
  <c r="AS30" i="5" s="1"/>
  <c r="O177" i="2"/>
  <c r="AU97" i="2"/>
  <c r="AU271" i="2" s="1"/>
  <c r="AT115" i="2"/>
  <c r="Q116" i="2"/>
  <c r="Q113" i="2"/>
  <c r="R103" i="2"/>
  <c r="M180" i="2"/>
  <c r="N179" i="2"/>
  <c r="P107" i="2"/>
  <c r="P168" i="2" s="1"/>
  <c r="P177" i="2" s="1"/>
  <c r="Q104" i="2"/>
  <c r="P108" i="2"/>
  <c r="P106" i="2"/>
  <c r="O170" i="2"/>
  <c r="O175" i="2"/>
  <c r="P173" i="2"/>
  <c r="P176" i="2" s="1"/>
  <c r="Q101" i="2"/>
  <c r="R102" i="2"/>
  <c r="L171" i="2"/>
  <c r="N171" i="2"/>
  <c r="R184" i="2"/>
  <c r="R235" i="2"/>
  <c r="R276" i="2" s="1"/>
  <c r="R95" i="2"/>
  <c r="R165" i="2" s="1"/>
  <c r="AU235" i="2" l="1"/>
  <c r="AU276" i="2" s="1"/>
  <c r="AU259" i="2"/>
  <c r="AU114" i="2"/>
  <c r="AU247" i="2"/>
  <c r="AT30" i="5"/>
  <c r="AV97" i="2"/>
  <c r="AV271" i="2" s="1"/>
  <c r="AU115" i="2"/>
  <c r="R116" i="2"/>
  <c r="S116" i="2"/>
  <c r="S103" i="2"/>
  <c r="R104" i="2"/>
  <c r="P167" i="2"/>
  <c r="Q107" i="2"/>
  <c r="Q168" i="2" s="1"/>
  <c r="Q108" i="2"/>
  <c r="Q106" i="2"/>
  <c r="P109" i="2"/>
  <c r="O179" i="2"/>
  <c r="P175" i="2"/>
  <c r="Q173" i="2"/>
  <c r="Q176" i="2" s="1"/>
  <c r="O171" i="2"/>
  <c r="R101" i="2"/>
  <c r="S102" i="2"/>
  <c r="L180" i="2"/>
  <c r="N180" i="2"/>
  <c r="S184" i="2"/>
  <c r="S235" i="2"/>
  <c r="S276" i="2" s="1"/>
  <c r="S95" i="2"/>
  <c r="S165" i="2" s="1"/>
  <c r="AV235" i="2" l="1"/>
  <c r="AV276" i="2" s="1"/>
  <c r="AV259" i="2"/>
  <c r="AV114" i="2"/>
  <c r="AU30" i="5"/>
  <c r="AV30" i="5" s="1"/>
  <c r="P170" i="2"/>
  <c r="P171" i="2" s="1"/>
  <c r="Q177" i="2"/>
  <c r="AW97" i="2"/>
  <c r="AW271" i="2" s="1"/>
  <c r="AV115" i="2"/>
  <c r="R106" i="2"/>
  <c r="R113" i="2"/>
  <c r="T116" i="2"/>
  <c r="S104" i="2"/>
  <c r="R108" i="2"/>
  <c r="R107" i="2"/>
  <c r="R168" i="2" s="1"/>
  <c r="R177" i="2" s="1"/>
  <c r="T103" i="2"/>
  <c r="Q109" i="2"/>
  <c r="Q167" i="2"/>
  <c r="Q170" i="2" s="1"/>
  <c r="Q175" i="2"/>
  <c r="R173" i="2"/>
  <c r="R176" i="2" s="1"/>
  <c r="S101" i="2"/>
  <c r="T102" i="2"/>
  <c r="T184" i="2"/>
  <c r="T235" i="2"/>
  <c r="T276" i="2" s="1"/>
  <c r="O180" i="2"/>
  <c r="T95" i="2"/>
  <c r="T165" i="2" s="1"/>
  <c r="AW235" i="2" l="1"/>
  <c r="AW114" i="2"/>
  <c r="AW30" i="5"/>
  <c r="P179" i="2"/>
  <c r="BF168" i="2"/>
  <c r="T104" i="2"/>
  <c r="BF177" i="2"/>
  <c r="AX97" i="2"/>
  <c r="AX271" i="2" s="1"/>
  <c r="AW115" i="2"/>
  <c r="S107" i="2"/>
  <c r="S168" i="2" s="1"/>
  <c r="S108" i="2"/>
  <c r="R167" i="2"/>
  <c r="R170" i="2" s="1"/>
  <c r="R109" i="2"/>
  <c r="S113" i="2"/>
  <c r="S106" i="2"/>
  <c r="U116" i="2"/>
  <c r="U103" i="2"/>
  <c r="U104" i="2" s="1"/>
  <c r="Q179" i="2"/>
  <c r="R175" i="2"/>
  <c r="S173" i="2"/>
  <c r="S176" i="2" s="1"/>
  <c r="T101" i="2"/>
  <c r="U102" i="2"/>
  <c r="Q171" i="2"/>
  <c r="U184" i="2"/>
  <c r="U235" i="2"/>
  <c r="U276" i="2" s="1"/>
  <c r="U95" i="2"/>
  <c r="U165" i="2" s="1"/>
  <c r="P180" i="2" l="1"/>
  <c r="AX30" i="5"/>
  <c r="AY30" i="5" s="1"/>
  <c r="AX235" i="2"/>
  <c r="AX114" i="2"/>
  <c r="T108" i="2"/>
  <c r="T106" i="2"/>
  <c r="T107" i="2"/>
  <c r="T168" i="2" s="1"/>
  <c r="T177" i="2" s="1"/>
  <c r="S167" i="2"/>
  <c r="S170" i="2" s="1"/>
  <c r="S171" i="2" s="1"/>
  <c r="S177" i="2"/>
  <c r="BF167" i="2"/>
  <c r="BF170" i="2" s="1"/>
  <c r="BF171" i="2" s="1"/>
  <c r="AY97" i="2"/>
  <c r="AY271" i="2" s="1"/>
  <c r="AX115" i="2"/>
  <c r="S109" i="2"/>
  <c r="T113" i="2"/>
  <c r="V116" i="2"/>
  <c r="V103" i="2"/>
  <c r="V104" i="2" s="1"/>
  <c r="R179" i="2"/>
  <c r="S175" i="2"/>
  <c r="T173" i="2"/>
  <c r="T176" i="2" s="1"/>
  <c r="R171" i="2"/>
  <c r="U101" i="2"/>
  <c r="U107" i="2"/>
  <c r="U106" i="2"/>
  <c r="U108" i="2"/>
  <c r="V102" i="2"/>
  <c r="V184" i="2"/>
  <c r="V235" i="2"/>
  <c r="V276" i="2" s="1"/>
  <c r="V95" i="2"/>
  <c r="V165" i="2" s="1"/>
  <c r="AY235" i="2" l="1"/>
  <c r="AY114" i="2"/>
  <c r="AZ30" i="5"/>
  <c r="T109" i="2"/>
  <c r="T167" i="2"/>
  <c r="T170" i="2" s="1"/>
  <c r="T171" i="2" s="1"/>
  <c r="AZ97" i="2"/>
  <c r="AZ271" i="2" s="1"/>
  <c r="AY115" i="2"/>
  <c r="U113" i="2"/>
  <c r="W116" i="2"/>
  <c r="W103" i="2"/>
  <c r="W104" i="2" s="1"/>
  <c r="T175" i="2"/>
  <c r="U173" i="2"/>
  <c r="U175" i="2" s="1"/>
  <c r="S179" i="2"/>
  <c r="U168" i="2"/>
  <c r="V101" i="2"/>
  <c r="U167" i="2"/>
  <c r="U109" i="2"/>
  <c r="V106" i="2"/>
  <c r="V107" i="2"/>
  <c r="V108" i="2"/>
  <c r="W102" i="2"/>
  <c r="Q180" i="2"/>
  <c r="W184" i="2"/>
  <c r="W235" i="2"/>
  <c r="W276" i="2" s="1"/>
  <c r="R180" i="2"/>
  <c r="W95" i="2"/>
  <c r="W165" i="2" s="1"/>
  <c r="BA30" i="5" l="1"/>
  <c r="BB30" i="5" s="1"/>
  <c r="AZ115" i="2"/>
  <c r="AZ235" i="2"/>
  <c r="AZ114" i="2"/>
  <c r="U177" i="2"/>
  <c r="V113" i="2"/>
  <c r="X116" i="2"/>
  <c r="X103" i="2"/>
  <c r="X104" i="2" s="1"/>
  <c r="U176" i="2"/>
  <c r="U170" i="2"/>
  <c r="V173" i="2"/>
  <c r="V176" i="2" s="1"/>
  <c r="T179" i="2"/>
  <c r="S180" i="2"/>
  <c r="V168" i="2"/>
  <c r="V177" i="2" s="1"/>
  <c r="W101" i="2"/>
  <c r="V167" i="2"/>
  <c r="W106" i="2"/>
  <c r="W107" i="2"/>
  <c r="W108" i="2"/>
  <c r="V109" i="2"/>
  <c r="X102" i="2"/>
  <c r="X184" i="2"/>
  <c r="X235" i="2"/>
  <c r="X276" i="2" s="1"/>
  <c r="X95" i="2"/>
  <c r="X165" i="2" s="1"/>
  <c r="BC30" i="5" l="1"/>
  <c r="BG176" i="2"/>
  <c r="BG168" i="2"/>
  <c r="BG177" i="2"/>
  <c r="W113" i="2"/>
  <c r="U179" i="2"/>
  <c r="Y116" i="2"/>
  <c r="Y103" i="2"/>
  <c r="Y104" i="2" s="1"/>
  <c r="V170" i="2"/>
  <c r="V171" i="2" s="1"/>
  <c r="V175" i="2"/>
  <c r="BG175" i="2" s="1"/>
  <c r="W173" i="2"/>
  <c r="W176" i="2" s="1"/>
  <c r="T180" i="2"/>
  <c r="U171" i="2"/>
  <c r="W168" i="2"/>
  <c r="X101" i="2"/>
  <c r="W167" i="2"/>
  <c r="X107" i="2"/>
  <c r="X106" i="2"/>
  <c r="X108" i="2"/>
  <c r="W109" i="2"/>
  <c r="Y102" i="2"/>
  <c r="Y184" i="2"/>
  <c r="Y235" i="2"/>
  <c r="Y276" i="2" s="1"/>
  <c r="Y95" i="2"/>
  <c r="Y165" i="2" s="1"/>
  <c r="BD30" i="5" l="1"/>
  <c r="BE30" i="5" s="1"/>
  <c r="W177" i="2"/>
  <c r="X113" i="2"/>
  <c r="Y113" i="2"/>
  <c r="Z103" i="2"/>
  <c r="Z104" i="2" s="1"/>
  <c r="W170" i="2"/>
  <c r="W175" i="2"/>
  <c r="X173" i="2"/>
  <c r="X176" i="2" s="1"/>
  <c r="V179" i="2"/>
  <c r="X168" i="2"/>
  <c r="X177" i="2" s="1"/>
  <c r="Y101" i="2"/>
  <c r="X167" i="2"/>
  <c r="Y107" i="2"/>
  <c r="Y106" i="2"/>
  <c r="Y108" i="2"/>
  <c r="X109" i="2"/>
  <c r="Z102" i="2"/>
  <c r="U180" i="2"/>
  <c r="Z184" i="2"/>
  <c r="Z235" i="2"/>
  <c r="Z276" i="2" s="1"/>
  <c r="Z95" i="2"/>
  <c r="Z165" i="2" s="1"/>
  <c r="BF30" i="5" l="1"/>
  <c r="Z116" i="2"/>
  <c r="AA116" i="2"/>
  <c r="W179" i="2"/>
  <c r="AA103" i="2"/>
  <c r="AA104" i="2" s="1"/>
  <c r="X175" i="2"/>
  <c r="X170" i="2"/>
  <c r="Y173" i="2"/>
  <c r="Y176" i="2" s="1"/>
  <c r="Y168" i="2"/>
  <c r="Y177" i="2" s="1"/>
  <c r="Z101" i="2"/>
  <c r="Y167" i="2"/>
  <c r="Y109" i="2"/>
  <c r="Z106" i="2"/>
  <c r="Z107" i="2"/>
  <c r="Z108" i="2"/>
  <c r="AA102" i="2"/>
  <c r="W171" i="2"/>
  <c r="AA184" i="2"/>
  <c r="AA235" i="2"/>
  <c r="AA276" i="2" s="1"/>
  <c r="V180" i="2"/>
  <c r="AA95" i="2"/>
  <c r="AA165" i="2" s="1"/>
  <c r="BG30" i="5" l="1"/>
  <c r="BH30" i="5" s="1"/>
  <c r="Z113" i="2"/>
  <c r="X179" i="2"/>
  <c r="W180" i="2"/>
  <c r="AB116" i="2"/>
  <c r="AB103" i="2"/>
  <c r="AB104" i="2" s="1"/>
  <c r="Y175" i="2"/>
  <c r="Y170" i="2"/>
  <c r="Z173" i="2"/>
  <c r="Z176" i="2" s="1"/>
  <c r="X171" i="2"/>
  <c r="Z168" i="2"/>
  <c r="Z177" i="2" s="1"/>
  <c r="BH177" i="2" s="1"/>
  <c r="AA101" i="2"/>
  <c r="Z167" i="2"/>
  <c r="AA107" i="2"/>
  <c r="AA106" i="2"/>
  <c r="AA108" i="2"/>
  <c r="Z109" i="2"/>
  <c r="AB102" i="2"/>
  <c r="AB184" i="2"/>
  <c r="AB235" i="2"/>
  <c r="AB276" i="2" s="1"/>
  <c r="AB95" i="2"/>
  <c r="AB165" i="2" s="1"/>
  <c r="BI30" i="5" l="1"/>
  <c r="BH168" i="2"/>
  <c r="Y179" i="2"/>
  <c r="AA113" i="2"/>
  <c r="AC116" i="2"/>
  <c r="AC103" i="2"/>
  <c r="AC104" i="2" s="1"/>
  <c r="Z170" i="2"/>
  <c r="Z175" i="2"/>
  <c r="AA173" i="2"/>
  <c r="AA176" i="2" s="1"/>
  <c r="Y171" i="2"/>
  <c r="AB101" i="2"/>
  <c r="AA168" i="2"/>
  <c r="AA167" i="2"/>
  <c r="AB106" i="2"/>
  <c r="AB107" i="2"/>
  <c r="AB108" i="2"/>
  <c r="AA109" i="2"/>
  <c r="AC102" i="2"/>
  <c r="AC184" i="2"/>
  <c r="AC235" i="2"/>
  <c r="AC276" i="2" s="1"/>
  <c r="X180" i="2"/>
  <c r="AC95" i="2"/>
  <c r="AC165" i="2" s="1"/>
  <c r="BJ30" i="5" l="1"/>
  <c r="BK30" i="5" s="1"/>
  <c r="AA177" i="2"/>
  <c r="AB113" i="2"/>
  <c r="AD116" i="2"/>
  <c r="AD103" i="2"/>
  <c r="AD104" i="2" s="1"/>
  <c r="Z179" i="2"/>
  <c r="AA170" i="2"/>
  <c r="AA175" i="2"/>
  <c r="AB173" i="2"/>
  <c r="AB176" i="2" s="1"/>
  <c r="Z171" i="2"/>
  <c r="AB168" i="2"/>
  <c r="AB177" i="2" s="1"/>
  <c r="AC101" i="2"/>
  <c r="AB167" i="2"/>
  <c r="AC107" i="2"/>
  <c r="AC106" i="2"/>
  <c r="AC108" i="2"/>
  <c r="AB109" i="2"/>
  <c r="AD102" i="2"/>
  <c r="AD184" i="2"/>
  <c r="AD235" i="2"/>
  <c r="AD276" i="2" s="1"/>
  <c r="Y180" i="2"/>
  <c r="AD95" i="2"/>
  <c r="AD165" i="2" s="1"/>
  <c r="BL30" i="5" l="1"/>
  <c r="AC113" i="2"/>
  <c r="AE116" i="2"/>
  <c r="AE103" i="2"/>
  <c r="AE104" i="2" s="1"/>
  <c r="AA179" i="2"/>
  <c r="AB175" i="2"/>
  <c r="AB170" i="2"/>
  <c r="AC173" i="2"/>
  <c r="AC176" i="2" s="1"/>
  <c r="AC168" i="2"/>
  <c r="AC177" i="2" s="1"/>
  <c r="AD101" i="2"/>
  <c r="AC167" i="2"/>
  <c r="AC109" i="2"/>
  <c r="AD107" i="2"/>
  <c r="AD106" i="2"/>
  <c r="AD108" i="2"/>
  <c r="AE102" i="2"/>
  <c r="AE184" i="2"/>
  <c r="AE235" i="2"/>
  <c r="AE276" i="2" s="1"/>
  <c r="Z180" i="2"/>
  <c r="AA171" i="2"/>
  <c r="AE95" i="2"/>
  <c r="AE165" i="2" s="1"/>
  <c r="BM30" i="5" l="1"/>
  <c r="BN30" i="5" s="1"/>
  <c r="AB179" i="2"/>
  <c r="AD113" i="2"/>
  <c r="AF116" i="2"/>
  <c r="AF103" i="2"/>
  <c r="AF104" i="2" s="1"/>
  <c r="AC175" i="2"/>
  <c r="AC170" i="2"/>
  <c r="AC171" i="2" s="1"/>
  <c r="AD173" i="2"/>
  <c r="AD176" i="2" s="1"/>
  <c r="AB171" i="2"/>
  <c r="AD168" i="2"/>
  <c r="AD177" i="2" s="1"/>
  <c r="BI177" i="2" s="1"/>
  <c r="AE101" i="2"/>
  <c r="AD167" i="2"/>
  <c r="AE107" i="2"/>
  <c r="AE106" i="2"/>
  <c r="AE108" i="2"/>
  <c r="AD109" i="2"/>
  <c r="AF102" i="2"/>
  <c r="AF184" i="2"/>
  <c r="AF235" i="2"/>
  <c r="AF276" i="2" s="1"/>
  <c r="AA180" i="2"/>
  <c r="AF95" i="2"/>
  <c r="AF165" i="2" s="1"/>
  <c r="AB180" i="2" l="1"/>
  <c r="BO30" i="5"/>
  <c r="BI168" i="2"/>
  <c r="AE113" i="2"/>
  <c r="AF113" i="2"/>
  <c r="AG103" i="2"/>
  <c r="AG104" i="2" s="1"/>
  <c r="AD170" i="2"/>
  <c r="AD171" i="2" s="1"/>
  <c r="AD175" i="2"/>
  <c r="AE173" i="2"/>
  <c r="AE176" i="2" s="1"/>
  <c r="AC179" i="2"/>
  <c r="AE168" i="2"/>
  <c r="AF101" i="2"/>
  <c r="AE167" i="2"/>
  <c r="AF106" i="2"/>
  <c r="AF107" i="2"/>
  <c r="AF108" i="2"/>
  <c r="AE109" i="2"/>
  <c r="AG102" i="2"/>
  <c r="AG184" i="2"/>
  <c r="AG235" i="2"/>
  <c r="AG276" i="2" s="1"/>
  <c r="AG95" i="2"/>
  <c r="AG165" i="2" s="1"/>
  <c r="BP30" i="5" l="1"/>
  <c r="BQ30" i="5" s="1"/>
  <c r="AE177" i="2"/>
  <c r="AD179" i="2"/>
  <c r="AG116" i="2"/>
  <c r="AH116" i="2"/>
  <c r="AH103" i="2"/>
  <c r="AH104" i="2" s="1"/>
  <c r="AE175" i="2"/>
  <c r="AC180" i="2"/>
  <c r="AE170" i="2"/>
  <c r="AF173" i="2"/>
  <c r="AF176" i="2" s="1"/>
  <c r="AF168" i="2"/>
  <c r="AF177" i="2" s="1"/>
  <c r="AG101" i="2"/>
  <c r="AF167" i="2"/>
  <c r="AG107" i="2"/>
  <c r="AG106" i="2"/>
  <c r="AG108" i="2"/>
  <c r="AF109" i="2"/>
  <c r="AH102" i="2"/>
  <c r="AH184" i="2"/>
  <c r="AH235" i="2"/>
  <c r="AH276" i="2" s="1"/>
  <c r="AH95" i="2"/>
  <c r="AH165" i="2" s="1"/>
  <c r="AD180" i="2" l="1"/>
  <c r="BR30" i="5"/>
  <c r="AE179" i="2"/>
  <c r="AG113" i="2"/>
  <c r="AI116" i="2"/>
  <c r="AI103" i="2"/>
  <c r="AI104" i="2" s="1"/>
  <c r="AF175" i="2"/>
  <c r="AF170" i="2"/>
  <c r="AG173" i="2"/>
  <c r="AG176" i="2" s="1"/>
  <c r="AG168" i="2"/>
  <c r="AH101" i="2"/>
  <c r="AG167" i="2"/>
  <c r="AG109" i="2"/>
  <c r="AH107" i="2"/>
  <c r="AH106" i="2"/>
  <c r="AH108" i="2"/>
  <c r="AI102" i="2"/>
  <c r="AI95" i="2"/>
  <c r="AI165" i="2" s="1"/>
  <c r="AI235" i="2"/>
  <c r="AI276" i="2" s="1"/>
  <c r="AI184" i="2"/>
  <c r="AE171" i="2"/>
  <c r="BS30" i="5" l="1"/>
  <c r="BT30" i="5" s="1"/>
  <c r="AG177" i="2"/>
  <c r="AF179" i="2"/>
  <c r="AH113" i="2"/>
  <c r="AI113" i="2"/>
  <c r="AJ103" i="2"/>
  <c r="AJ104" i="2" s="1"/>
  <c r="AG170" i="2"/>
  <c r="AG175" i="2"/>
  <c r="AH173" i="2"/>
  <c r="AH176" i="2" s="1"/>
  <c r="AH168" i="2"/>
  <c r="AH177" i="2" s="1"/>
  <c r="AI101" i="2"/>
  <c r="AH167" i="2"/>
  <c r="AI107" i="2"/>
  <c r="AI106" i="2"/>
  <c r="AI108" i="2"/>
  <c r="AH109" i="2"/>
  <c r="AJ102" i="2"/>
  <c r="AJ235" i="2"/>
  <c r="AJ276" i="2" s="1"/>
  <c r="AE180" i="2"/>
  <c r="AJ184" i="2"/>
  <c r="AF171" i="2"/>
  <c r="AJ95" i="2"/>
  <c r="AJ165" i="2" s="1"/>
  <c r="BU30" i="5" l="1"/>
  <c r="BJ168" i="2"/>
  <c r="BJ177" i="2"/>
  <c r="AJ116" i="2"/>
  <c r="AK116" i="2"/>
  <c r="AK103" i="2"/>
  <c r="AK104" i="2" s="1"/>
  <c r="AG179" i="2"/>
  <c r="AH175" i="2"/>
  <c r="AH170" i="2"/>
  <c r="AI173" i="2"/>
  <c r="AI176" i="2" s="1"/>
  <c r="AG171" i="2"/>
  <c r="AI168" i="2"/>
  <c r="AJ101" i="2"/>
  <c r="AI167" i="2"/>
  <c r="AJ107" i="2"/>
  <c r="AJ106" i="2"/>
  <c r="AJ108" i="2"/>
  <c r="AI109" i="2"/>
  <c r="AK102" i="2"/>
  <c r="AK95" i="2"/>
  <c r="AK165" i="2" s="1"/>
  <c r="AK235" i="2"/>
  <c r="AK276" i="2" s="1"/>
  <c r="AK184" i="2"/>
  <c r="AF180" i="2"/>
  <c r="BV30" i="5" l="1"/>
  <c r="BW30" i="5" s="1"/>
  <c r="AI177" i="2"/>
  <c r="AJ113" i="2"/>
  <c r="AG180" i="2"/>
  <c r="AL116" i="2"/>
  <c r="AL103" i="2"/>
  <c r="AL104" i="2" s="1"/>
  <c r="AH179" i="2"/>
  <c r="AI170" i="2"/>
  <c r="AI175" i="2"/>
  <c r="AJ173" i="2"/>
  <c r="AJ176" i="2" s="1"/>
  <c r="AH171" i="2"/>
  <c r="AJ168" i="2"/>
  <c r="AJ177" i="2" s="1"/>
  <c r="AJ167" i="2"/>
  <c r="AL95" i="2"/>
  <c r="AL165" i="2" s="1"/>
  <c r="AJ109" i="2"/>
  <c r="AK106" i="2"/>
  <c r="AK107" i="2"/>
  <c r="AK108" i="2"/>
  <c r="AK101" i="2"/>
  <c r="AL235" i="2"/>
  <c r="AL276" i="2" s="1"/>
  <c r="AL102" i="2"/>
  <c r="AL184" i="2"/>
  <c r="BX30" i="5" l="1"/>
  <c r="AK113" i="2"/>
  <c r="AM116" i="2"/>
  <c r="AM103" i="2"/>
  <c r="AM104" i="2" s="1"/>
  <c r="AI179" i="2"/>
  <c r="AJ170" i="2"/>
  <c r="AJ175" i="2"/>
  <c r="AL101" i="2"/>
  <c r="AK173" i="2"/>
  <c r="AK176" i="2" s="1"/>
  <c r="AM95" i="2"/>
  <c r="AM165" i="2" s="1"/>
  <c r="AK167" i="2"/>
  <c r="AK168" i="2"/>
  <c r="AK177" i="2" s="1"/>
  <c r="AM102" i="2"/>
  <c r="AK109" i="2"/>
  <c r="AL106" i="2"/>
  <c r="AL107" i="2"/>
  <c r="AL108" i="2"/>
  <c r="AM184" i="2"/>
  <c r="AM235" i="2"/>
  <c r="AM276" i="2" s="1"/>
  <c r="AH180" i="2"/>
  <c r="AI171" i="2"/>
  <c r="BY30" i="5" l="1"/>
  <c r="BZ30" i="5" s="1"/>
  <c r="AL113" i="2"/>
  <c r="AN116" i="2"/>
  <c r="AN103" i="2"/>
  <c r="AN104" i="2" s="1"/>
  <c r="AJ179" i="2"/>
  <c r="AK170" i="2"/>
  <c r="AK171" i="2" s="1"/>
  <c r="AJ171" i="2"/>
  <c r="AL168" i="2"/>
  <c r="AL177" i="2" s="1"/>
  <c r="BK177" i="2" s="1"/>
  <c r="AM101" i="2"/>
  <c r="AL173" i="2"/>
  <c r="AL176" i="2" s="1"/>
  <c r="AK175" i="2"/>
  <c r="AN102" i="2"/>
  <c r="AN95" i="2"/>
  <c r="AN165" i="2" s="1"/>
  <c r="AL167" i="2"/>
  <c r="AN235" i="2"/>
  <c r="AN276" i="2" s="1"/>
  <c r="AN184" i="2"/>
  <c r="AM106" i="2"/>
  <c r="AM107" i="2"/>
  <c r="AM108" i="2"/>
  <c r="AL109" i="2"/>
  <c r="AI180" i="2"/>
  <c r="F5" i="4"/>
  <c r="CA30" i="5" l="1"/>
  <c r="BK168" i="2"/>
  <c r="AM113" i="2"/>
  <c r="AO116" i="2"/>
  <c r="AO103" i="2"/>
  <c r="AO104" i="2" s="1"/>
  <c r="AJ180" i="2"/>
  <c r="AL170" i="2"/>
  <c r="AL171" i="2" s="1"/>
  <c r="AM168" i="2"/>
  <c r="AN107" i="2"/>
  <c r="AN106" i="2"/>
  <c r="AL175" i="2"/>
  <c r="AN108" i="2"/>
  <c r="AN101" i="2"/>
  <c r="AM173" i="2"/>
  <c r="AO184" i="2"/>
  <c r="AO102" i="2"/>
  <c r="AO95" i="2"/>
  <c r="AO165" i="2" s="1"/>
  <c r="AO235" i="2"/>
  <c r="AO276" i="2" s="1"/>
  <c r="AM167" i="2"/>
  <c r="AK179" i="2"/>
  <c r="AM109" i="2"/>
  <c r="F6" i="4"/>
  <c r="F11" i="4" s="1"/>
  <c r="CB30" i="5" l="1"/>
  <c r="CC30" i="5" s="1"/>
  <c r="AM177" i="2"/>
  <c r="AN113" i="2"/>
  <c r="AO113" i="2"/>
  <c r="AP103" i="2"/>
  <c r="AP104" i="2" s="1"/>
  <c r="AP235" i="2"/>
  <c r="AP276" i="2" s="1"/>
  <c r="AM170" i="2"/>
  <c r="AM171" i="2" s="1"/>
  <c r="AO107" i="2"/>
  <c r="AN168" i="2"/>
  <c r="AN177" i="2" s="1"/>
  <c r="AN167" i="2"/>
  <c r="AL179" i="2"/>
  <c r="AN109" i="2"/>
  <c r="AP184" i="2"/>
  <c r="AK180" i="2"/>
  <c r="AM176" i="2"/>
  <c r="AM175" i="2"/>
  <c r="AP102" i="2"/>
  <c r="AN173" i="2"/>
  <c r="AN176" i="2" s="1"/>
  <c r="AO101" i="2"/>
  <c r="AP95" i="2"/>
  <c r="AP165" i="2" s="1"/>
  <c r="AO108" i="2"/>
  <c r="AO106" i="2"/>
  <c r="G5" i="4"/>
  <c r="CD30" i="5" l="1"/>
  <c r="AP116" i="2"/>
  <c r="AP113" i="2"/>
  <c r="AQ103" i="2"/>
  <c r="AQ104" i="2" s="1"/>
  <c r="AN170" i="2"/>
  <c r="AN171" i="2" s="1"/>
  <c r="AP106" i="2"/>
  <c r="AM179" i="2"/>
  <c r="AL180" i="2"/>
  <c r="AP101" i="2"/>
  <c r="AO173" i="2"/>
  <c r="AO176" i="2" s="1"/>
  <c r="AO168" i="2"/>
  <c r="AO177" i="2" s="1"/>
  <c r="AN175" i="2"/>
  <c r="AQ95" i="2"/>
  <c r="AQ165" i="2" s="1"/>
  <c r="AO167" i="2"/>
  <c r="AQ184" i="2"/>
  <c r="AQ235" i="2"/>
  <c r="AQ276" i="2" s="1"/>
  <c r="AQ102" i="2"/>
  <c r="AO109" i="2"/>
  <c r="AP108" i="2"/>
  <c r="AP107" i="2"/>
  <c r="G6" i="4"/>
  <c r="G11" i="4" s="1"/>
  <c r="CE30" i="5" l="1"/>
  <c r="CF30" i="5" s="1"/>
  <c r="AQ116" i="2"/>
  <c r="AR102" i="2"/>
  <c r="AR101" i="2" s="1"/>
  <c r="AQ113" i="2"/>
  <c r="AR95" i="2"/>
  <c r="AR165" i="2" s="1"/>
  <c r="AR103" i="2"/>
  <c r="AR104" i="2" s="1"/>
  <c r="AR235" i="2"/>
  <c r="AR276" i="2" s="1"/>
  <c r="AR184" i="2"/>
  <c r="AO170" i="2"/>
  <c r="AO171" i="2" s="1"/>
  <c r="AQ106" i="2"/>
  <c r="AP167" i="2"/>
  <c r="BL167" i="2" s="1"/>
  <c r="AP168" i="2"/>
  <c r="AP177" i="2" s="1"/>
  <c r="BL177" i="2" s="1"/>
  <c r="AM180" i="2"/>
  <c r="AN179" i="2"/>
  <c r="AP173" i="2"/>
  <c r="AP176" i="2" s="1"/>
  <c r="BL176" i="2" s="1"/>
  <c r="AO175" i="2"/>
  <c r="AQ101" i="2"/>
  <c r="AQ107" i="2"/>
  <c r="AQ108" i="2"/>
  <c r="AP109" i="2"/>
  <c r="H5" i="4"/>
  <c r="CG30" i="5" l="1"/>
  <c r="BL168" i="2"/>
  <c r="BL170" i="2" s="1"/>
  <c r="AS102" i="2"/>
  <c r="AS101" i="2" s="1"/>
  <c r="AR116" i="2"/>
  <c r="AS95" i="2"/>
  <c r="AS165" i="2" s="1"/>
  <c r="AS184" i="2"/>
  <c r="AT184" i="2" s="1"/>
  <c r="AR106" i="2"/>
  <c r="AS116" i="2"/>
  <c r="AR107" i="2"/>
  <c r="AR168" i="2" s="1"/>
  <c r="AR177" i="2" s="1"/>
  <c r="AS235" i="2"/>
  <c r="AS276" i="2" s="1"/>
  <c r="AS103" i="2"/>
  <c r="AS104" i="2" s="1"/>
  <c r="AR108" i="2"/>
  <c r="AP170" i="2"/>
  <c r="AP171" i="2" s="1"/>
  <c r="AN180" i="2"/>
  <c r="AO179" i="2"/>
  <c r="AP175" i="2"/>
  <c r="AQ109" i="2"/>
  <c r="AQ167" i="2"/>
  <c r="AQ168" i="2"/>
  <c r="AQ173" i="2"/>
  <c r="AT102" i="2"/>
  <c r="AT95" i="2"/>
  <c r="AT165" i="2" s="1"/>
  <c r="I5" i="4"/>
  <c r="F200" i="2" l="1"/>
  <c r="F130" i="2" s="1"/>
  <c r="F202" i="2"/>
  <c r="G204" i="2" s="1"/>
  <c r="G200" i="2"/>
  <c r="G202" i="2"/>
  <c r="H204" i="2" s="1"/>
  <c r="J202" i="2"/>
  <c r="K204" i="2" s="1"/>
  <c r="J200" i="2"/>
  <c r="CH30" i="5"/>
  <c r="CI30" i="5" s="1"/>
  <c r="AQ177" i="2"/>
  <c r="AT116" i="2"/>
  <c r="AT103" i="2"/>
  <c r="AT104" i="2" s="1"/>
  <c r="AR167" i="2"/>
  <c r="AR170" i="2" s="1"/>
  <c r="AT202" i="2"/>
  <c r="AU204" i="2" s="1"/>
  <c r="H202" i="2"/>
  <c r="I204" i="2" s="1"/>
  <c r="I202" i="2"/>
  <c r="J204" i="2" s="1"/>
  <c r="M202" i="2"/>
  <c r="N204" i="2" s="1"/>
  <c r="L202" i="2"/>
  <c r="M204" i="2" s="1"/>
  <c r="K202" i="2"/>
  <c r="L204" i="2" s="1"/>
  <c r="O202" i="2"/>
  <c r="P204" i="2" s="1"/>
  <c r="N202" i="2"/>
  <c r="O204" i="2" s="1"/>
  <c r="P202" i="2"/>
  <c r="Q204" i="2" s="1"/>
  <c r="R202" i="2"/>
  <c r="S204" i="2" s="1"/>
  <c r="Q202" i="2"/>
  <c r="R204" i="2" s="1"/>
  <c r="T202" i="2"/>
  <c r="U204" i="2" s="1"/>
  <c r="S202" i="2"/>
  <c r="T204" i="2" s="1"/>
  <c r="W202" i="2"/>
  <c r="X204" i="2" s="1"/>
  <c r="U202" i="2"/>
  <c r="V204" i="2" s="1"/>
  <c r="V202" i="2"/>
  <c r="W204" i="2" s="1"/>
  <c r="Z202" i="2"/>
  <c r="AA204" i="2" s="1"/>
  <c r="Y202" i="2"/>
  <c r="Z204" i="2" s="1"/>
  <c r="X202" i="2"/>
  <c r="Y204" i="2" s="1"/>
  <c r="AB202" i="2"/>
  <c r="AC204" i="2" s="1"/>
  <c r="AC202" i="2"/>
  <c r="AD204" i="2" s="1"/>
  <c r="AA202" i="2"/>
  <c r="AB204" i="2" s="1"/>
  <c r="AE202" i="2"/>
  <c r="AF204" i="2" s="1"/>
  <c r="AD202" i="2"/>
  <c r="AE204" i="2" s="1"/>
  <c r="AG202" i="2"/>
  <c r="AH204" i="2" s="1"/>
  <c r="AF202" i="2"/>
  <c r="AG204" i="2" s="1"/>
  <c r="AH202" i="2"/>
  <c r="AI204" i="2" s="1"/>
  <c r="AI202" i="2"/>
  <c r="AJ204" i="2" s="1"/>
  <c r="AJ202" i="2"/>
  <c r="AK204" i="2" s="1"/>
  <c r="AK202" i="2"/>
  <c r="AL204" i="2" s="1"/>
  <c r="AN202" i="2"/>
  <c r="AO204" i="2" s="1"/>
  <c r="AT235" i="2"/>
  <c r="AO202" i="2"/>
  <c r="AP204" i="2" s="1"/>
  <c r="AQ202" i="2"/>
  <c r="AR204" i="2" s="1"/>
  <c r="AL202" i="2"/>
  <c r="AM204" i="2" s="1"/>
  <c r="AM202" i="2"/>
  <c r="AN204" i="2" s="1"/>
  <c r="AP202" i="2"/>
  <c r="AQ204" i="2" s="1"/>
  <c r="AS113" i="2"/>
  <c r="AR202" i="2"/>
  <c r="AS204" i="2" s="1"/>
  <c r="AR113" i="2"/>
  <c r="AS202" i="2"/>
  <c r="AT204" i="2" s="1"/>
  <c r="AR109" i="2"/>
  <c r="AS108" i="2"/>
  <c r="AS107" i="2"/>
  <c r="AS168" i="2" s="1"/>
  <c r="AS177" i="2" s="1"/>
  <c r="AS106" i="2"/>
  <c r="AQ170" i="2"/>
  <c r="AP179" i="2"/>
  <c r="H200" i="2"/>
  <c r="AO180" i="2"/>
  <c r="AP200" i="2"/>
  <c r="AR200" i="2"/>
  <c r="AM200" i="2"/>
  <c r="AQ200" i="2"/>
  <c r="AT200" i="2"/>
  <c r="I200" i="2"/>
  <c r="K200" i="2"/>
  <c r="L200" i="2"/>
  <c r="M200" i="2"/>
  <c r="N200" i="2"/>
  <c r="P200" i="2"/>
  <c r="O200" i="2"/>
  <c r="Q200" i="2"/>
  <c r="S200" i="2"/>
  <c r="R200" i="2"/>
  <c r="T200" i="2"/>
  <c r="V200" i="2"/>
  <c r="U200" i="2"/>
  <c r="W200" i="2"/>
  <c r="X200" i="2"/>
  <c r="Y200" i="2"/>
  <c r="Z200" i="2"/>
  <c r="AA200" i="2"/>
  <c r="AC200" i="2"/>
  <c r="AB200" i="2"/>
  <c r="AE200" i="2"/>
  <c r="AG200" i="2"/>
  <c r="AF200" i="2"/>
  <c r="AD200" i="2"/>
  <c r="AH200" i="2"/>
  <c r="AJ200" i="2"/>
  <c r="AI200" i="2"/>
  <c r="AK200" i="2"/>
  <c r="AL200" i="2"/>
  <c r="AN200" i="2"/>
  <c r="AS200" i="2"/>
  <c r="AO200" i="2"/>
  <c r="AQ176" i="2"/>
  <c r="AR173" i="2"/>
  <c r="AQ175" i="2"/>
  <c r="AT101" i="2"/>
  <c r="J5" i="4"/>
  <c r="G130" i="2" l="1"/>
  <c r="H130" i="2" s="1"/>
  <c r="I131" i="2" s="1"/>
  <c r="CJ30" i="5"/>
  <c r="CG32" i="5"/>
  <c r="CG34" i="5" s="1"/>
  <c r="BD202" i="2"/>
  <c r="BG200" i="2"/>
  <c r="BL200" i="2"/>
  <c r="BM202" i="2"/>
  <c r="BK202" i="2"/>
  <c r="BK200" i="2"/>
  <c r="BF200" i="2"/>
  <c r="BE202" i="2"/>
  <c r="BF202" i="2"/>
  <c r="BL202" i="2"/>
  <c r="BI200" i="2"/>
  <c r="BM200" i="2"/>
  <c r="BH200" i="2"/>
  <c r="BG202" i="2"/>
  <c r="BE200" i="2"/>
  <c r="BH202" i="2"/>
  <c r="BJ202" i="2"/>
  <c r="BI202" i="2"/>
  <c r="BJ200" i="2"/>
  <c r="BD200" i="2"/>
  <c r="AT107" i="2"/>
  <c r="AT168" i="2" s="1"/>
  <c r="AV103" i="2"/>
  <c r="AT108" i="2"/>
  <c r="AT106" i="2"/>
  <c r="AU103" i="2"/>
  <c r="AU104" i="2" s="1"/>
  <c r="AU184" i="2"/>
  <c r="AV184" i="2" s="1"/>
  <c r="AT113" i="2"/>
  <c r="AU95" i="2"/>
  <c r="AU165" i="2" s="1"/>
  <c r="AU102" i="2"/>
  <c r="AU202" i="2" s="1"/>
  <c r="AV204" i="2" s="1"/>
  <c r="AV102" i="2"/>
  <c r="AV202" i="2" s="1"/>
  <c r="AW204" i="2" s="1"/>
  <c r="AV95" i="2"/>
  <c r="AV165" i="2" s="1"/>
  <c r="AS167" i="2"/>
  <c r="AS170" i="2" s="1"/>
  <c r="AS171" i="2" s="1"/>
  <c r="AS109" i="2"/>
  <c r="AP180" i="2"/>
  <c r="AR171" i="2"/>
  <c r="AR176" i="2"/>
  <c r="AR175" i="2"/>
  <c r="AQ179" i="2"/>
  <c r="AQ171" i="2"/>
  <c r="AS173" i="2"/>
  <c r="AT173" i="2" s="1"/>
  <c r="K5" i="4"/>
  <c r="AZ131" i="2" l="1"/>
  <c r="AP131" i="2"/>
  <c r="AF131" i="2"/>
  <c r="V131" i="2"/>
  <c r="L131" i="2"/>
  <c r="AC131" i="2"/>
  <c r="AV131" i="2"/>
  <c r="AL131" i="2"/>
  <c r="R131" i="2"/>
  <c r="AK131" i="2"/>
  <c r="Q131" i="2"/>
  <c r="AT131" i="2"/>
  <c r="AJ131" i="2"/>
  <c r="Z131" i="2"/>
  <c r="P131" i="2"/>
  <c r="AS131" i="2"/>
  <c r="AI131" i="2"/>
  <c r="Y131" i="2"/>
  <c r="O131" i="2"/>
  <c r="AY131" i="2"/>
  <c r="AO131" i="2"/>
  <c r="AE131" i="2"/>
  <c r="U131" i="2"/>
  <c r="K131" i="2"/>
  <c r="AW131" i="2"/>
  <c r="AM131" i="2"/>
  <c r="S131" i="2"/>
  <c r="AB131" i="2"/>
  <c r="AH131" i="2"/>
  <c r="AQ131" i="2"/>
  <c r="AG131" i="2"/>
  <c r="M131" i="2"/>
  <c r="AX131" i="2"/>
  <c r="AN131" i="2"/>
  <c r="AD131" i="2"/>
  <c r="T131" i="2"/>
  <c r="J131" i="2"/>
  <c r="AU131" i="2"/>
  <c r="AA131" i="2"/>
  <c r="AR131" i="2"/>
  <c r="X131" i="2"/>
  <c r="N131" i="2"/>
  <c r="W131" i="2"/>
  <c r="I130" i="2"/>
  <c r="AT276" i="2"/>
  <c r="BD204" i="2"/>
  <c r="CJ32" i="5"/>
  <c r="CJ34" i="5" s="1"/>
  <c r="CK30" i="5"/>
  <c r="CL30" i="5" s="1"/>
  <c r="BK204" i="2"/>
  <c r="BH204" i="2"/>
  <c r="BM204" i="2"/>
  <c r="AT177" i="2"/>
  <c r="BM177" i="2" s="1"/>
  <c r="BM168" i="2"/>
  <c r="BE204" i="2"/>
  <c r="BJ204" i="2"/>
  <c r="BG204" i="2"/>
  <c r="BI204" i="2"/>
  <c r="BL204" i="2"/>
  <c r="BF204" i="2"/>
  <c r="AT167" i="2"/>
  <c r="BM167" i="2" s="1"/>
  <c r="AU113" i="2"/>
  <c r="AV104" i="2"/>
  <c r="AV113" i="2"/>
  <c r="AU107" i="2"/>
  <c r="AU116" i="2"/>
  <c r="AV116" i="2"/>
  <c r="AW116" i="2"/>
  <c r="AU108" i="2"/>
  <c r="AT109" i="2"/>
  <c r="AU106" i="2"/>
  <c r="AW95" i="2"/>
  <c r="AW165" i="2" s="1"/>
  <c r="AU200" i="2"/>
  <c r="AV101" i="2"/>
  <c r="AV200" i="2"/>
  <c r="AX103" i="2"/>
  <c r="AU101" i="2"/>
  <c r="AW103" i="2"/>
  <c r="AW104" i="2" s="1"/>
  <c r="AW184" i="2"/>
  <c r="AW102" i="2"/>
  <c r="AW202" i="2" s="1"/>
  <c r="AX204" i="2" s="1"/>
  <c r="G138" i="2"/>
  <c r="AR179" i="2"/>
  <c r="AT176" i="2"/>
  <c r="AT175" i="2"/>
  <c r="AQ180" i="2"/>
  <c r="AS176" i="2"/>
  <c r="AS175" i="2"/>
  <c r="L5" i="4"/>
  <c r="J130" i="2" l="1"/>
  <c r="K130" i="2" s="1"/>
  <c r="L130" i="2" s="1"/>
  <c r="M130" i="2" s="1"/>
  <c r="N130" i="2" s="1"/>
  <c r="O130" i="2" s="1"/>
  <c r="P130" i="2" s="1"/>
  <c r="Q130" i="2" s="1"/>
  <c r="R130" i="2" s="1"/>
  <c r="S130" i="2" s="1"/>
  <c r="T130" i="2" s="1"/>
  <c r="U130" i="2" s="1"/>
  <c r="V130" i="2" s="1"/>
  <c r="W130" i="2" s="1"/>
  <c r="X130" i="2" s="1"/>
  <c r="Y130" i="2" s="1"/>
  <c r="Z130" i="2" s="1"/>
  <c r="AA130" i="2" s="1"/>
  <c r="AB130" i="2" s="1"/>
  <c r="AC130" i="2" s="1"/>
  <c r="AD130" i="2" s="1"/>
  <c r="AE130" i="2" s="1"/>
  <c r="AF130" i="2" s="1"/>
  <c r="AG130" i="2" s="1"/>
  <c r="AH130" i="2" s="1"/>
  <c r="AI130" i="2" s="1"/>
  <c r="AJ130" i="2" s="1"/>
  <c r="AK130" i="2" s="1"/>
  <c r="AL130" i="2" s="1"/>
  <c r="AM130" i="2" s="1"/>
  <c r="AN130" i="2" s="1"/>
  <c r="AO130" i="2" s="1"/>
  <c r="AP130" i="2" s="1"/>
  <c r="AQ130" i="2" s="1"/>
  <c r="AR130" i="2" s="1"/>
  <c r="AS130" i="2" s="1"/>
  <c r="AT130" i="2" s="1"/>
  <c r="AU130" i="2" s="1"/>
  <c r="AV130" i="2" s="1"/>
  <c r="BM175" i="2"/>
  <c r="BM176" i="2"/>
  <c r="CM30" i="5"/>
  <c r="AV107" i="2"/>
  <c r="AV168" i="2" s="1"/>
  <c r="AV177" i="2" s="1"/>
  <c r="AV106" i="2"/>
  <c r="AV108" i="2"/>
  <c r="BM170" i="2"/>
  <c r="BM171" i="2" s="1"/>
  <c r="AT170" i="2"/>
  <c r="AT171" i="2" s="1"/>
  <c r="AX184" i="2"/>
  <c r="AX104" i="2"/>
  <c r="AU109" i="2"/>
  <c r="AU167" i="2"/>
  <c r="AX116" i="2"/>
  <c r="AU168" i="2"/>
  <c r="AU177" i="2" s="1"/>
  <c r="AX102" i="2"/>
  <c r="AX202" i="2" s="1"/>
  <c r="AY204" i="2" s="1"/>
  <c r="AX95" i="2"/>
  <c r="AX165" i="2" s="1"/>
  <c r="AU173" i="2"/>
  <c r="AV173" i="2" s="1"/>
  <c r="AV176" i="2" s="1"/>
  <c r="AW107" i="2"/>
  <c r="AW108" i="2"/>
  <c r="AW106" i="2"/>
  <c r="AW200" i="2"/>
  <c r="AW101" i="2"/>
  <c r="AW113" i="2"/>
  <c r="AS179" i="2"/>
  <c r="AR180" i="2"/>
  <c r="G139" i="2"/>
  <c r="G140" i="2"/>
  <c r="M5" i="4"/>
  <c r="AW130" i="2" l="1"/>
  <c r="AV167" i="2"/>
  <c r="AV170" i="2" s="1"/>
  <c r="AV171" i="2" s="1"/>
  <c r="AV109" i="2"/>
  <c r="CM32" i="5"/>
  <c r="CM34" i="5" s="1"/>
  <c r="CN30" i="5"/>
  <c r="CO30" i="5" s="1"/>
  <c r="AT179" i="2"/>
  <c r="AX107" i="2"/>
  <c r="AX106" i="2"/>
  <c r="BM179" i="2"/>
  <c r="BM180" i="2" s="1"/>
  <c r="AX108" i="2"/>
  <c r="AU170" i="2"/>
  <c r="AU171" i="2" s="1"/>
  <c r="AZ116" i="2"/>
  <c r="AX101" i="2"/>
  <c r="AX200" i="2"/>
  <c r="AY103" i="2"/>
  <c r="AY104" i="2" s="1"/>
  <c r="AY116" i="2"/>
  <c r="AW168" i="2"/>
  <c r="AW177" i="2" s="1"/>
  <c r="AW167" i="2"/>
  <c r="AY102" i="2"/>
  <c r="AY202" i="2" s="1"/>
  <c r="AZ204" i="2" s="1"/>
  <c r="AY184" i="2"/>
  <c r="AZ184" i="2" s="1"/>
  <c r="AV175" i="2"/>
  <c r="AY95" i="2"/>
  <c r="AY165" i="2" s="1"/>
  <c r="AU176" i="2"/>
  <c r="AU175" i="2"/>
  <c r="AW109" i="2"/>
  <c r="AW173" i="2"/>
  <c r="AS180" i="2"/>
  <c r="AZ103" i="2"/>
  <c r="G145" i="2"/>
  <c r="G143" i="2"/>
  <c r="AZ102" i="2"/>
  <c r="AZ202" i="2" s="1"/>
  <c r="AZ95" i="2"/>
  <c r="AZ165" i="2" s="1"/>
  <c r="M6" i="4"/>
  <c r="M11" i="4" s="1"/>
  <c r="AX130" i="2" l="1"/>
  <c r="AT180" i="2"/>
  <c r="AX109" i="2"/>
  <c r="AX173" i="2"/>
  <c r="AX175" i="2" s="1"/>
  <c r="BD184" i="2"/>
  <c r="BI184" i="2"/>
  <c r="BJ184" i="2"/>
  <c r="BE184" i="2"/>
  <c r="BF184" i="2"/>
  <c r="BG184" i="2"/>
  <c r="BH184" i="2"/>
  <c r="BK184" i="2"/>
  <c r="BL184" i="2"/>
  <c r="BM184" i="2"/>
  <c r="CP30" i="5"/>
  <c r="AV179" i="2"/>
  <c r="AY101" i="2"/>
  <c r="AY200" i="2"/>
  <c r="AX167" i="2"/>
  <c r="AX168" i="2"/>
  <c r="AX177" i="2" s="1"/>
  <c r="AY106" i="2"/>
  <c r="AY108" i="2"/>
  <c r="AU179" i="2"/>
  <c r="AZ104" i="2"/>
  <c r="AW176" i="2"/>
  <c r="AX113" i="2"/>
  <c r="AY107" i="2"/>
  <c r="AW170" i="2"/>
  <c r="AW171" i="2" s="1"/>
  <c r="AW175" i="2"/>
  <c r="AZ113" i="2"/>
  <c r="AY113" i="2"/>
  <c r="G147" i="2"/>
  <c r="AZ200" i="2"/>
  <c r="AZ101" i="2"/>
  <c r="N5" i="4"/>
  <c r="AY130" i="2" l="1"/>
  <c r="AX176" i="2"/>
  <c r="AY173" i="2"/>
  <c r="AY175" i="2" s="1"/>
  <c r="AV180" i="2"/>
  <c r="AZ130" i="2"/>
  <c r="C71" i="2"/>
  <c r="CP32" i="5"/>
  <c r="CP34" i="5" s="1"/>
  <c r="CQ30" i="5"/>
  <c r="CR30" i="5" s="1"/>
  <c r="AY168" i="2"/>
  <c r="AY177" i="2" s="1"/>
  <c r="AY167" i="2"/>
  <c r="AU180" i="2"/>
  <c r="AX170" i="2"/>
  <c r="AX171" i="2" s="1"/>
  <c r="AZ108" i="2"/>
  <c r="AZ106" i="2"/>
  <c r="AZ107" i="2"/>
  <c r="AY109" i="2"/>
  <c r="AW179" i="2"/>
  <c r="H138" i="2"/>
  <c r="H6" i="4"/>
  <c r="I6" i="4"/>
  <c r="I11" i="4" s="1"/>
  <c r="J6" i="4"/>
  <c r="J11" i="4" s="1"/>
  <c r="K6" i="4"/>
  <c r="K11" i="4" s="1"/>
  <c r="L6" i="4"/>
  <c r="L11" i="4" s="1"/>
  <c r="N6" i="4"/>
  <c r="N11" i="4" s="1"/>
  <c r="AY176" i="2" l="1"/>
  <c r="AZ173" i="2"/>
  <c r="AZ176" i="2" s="1"/>
  <c r="AZ167" i="2"/>
  <c r="AY170" i="2"/>
  <c r="AY171" i="2" s="1"/>
  <c r="CS30" i="5"/>
  <c r="AX179" i="2"/>
  <c r="BD167" i="2"/>
  <c r="BD170" i="2" s="1"/>
  <c r="BG167" i="2"/>
  <c r="BG170" i="2" s="1"/>
  <c r="BH167" i="2"/>
  <c r="BH170" i="2" s="1"/>
  <c r="BI167" i="2"/>
  <c r="BI170" i="2" s="1"/>
  <c r="BJ167" i="2"/>
  <c r="BJ170" i="2" s="1"/>
  <c r="BK167" i="2"/>
  <c r="BK170" i="2" s="1"/>
  <c r="AZ168" i="2"/>
  <c r="AZ109" i="2"/>
  <c r="AW180" i="2"/>
  <c r="H140" i="2"/>
  <c r="H139" i="2"/>
  <c r="H11" i="4"/>
  <c r="AZ175" i="2" l="1"/>
  <c r="AZ170" i="2"/>
  <c r="AZ171" i="2" s="1"/>
  <c r="AX180" i="2"/>
  <c r="AY179" i="2"/>
  <c r="CS32" i="5"/>
  <c r="CS34" i="5" s="1"/>
  <c r="CT30" i="5"/>
  <c r="CU30" i="5" s="1"/>
  <c r="BI171" i="2"/>
  <c r="AZ177" i="2"/>
  <c r="BJ171" i="2"/>
  <c r="BH171" i="2"/>
  <c r="BK171" i="2"/>
  <c r="BL171" i="2"/>
  <c r="BG171" i="2"/>
  <c r="BG179" i="2"/>
  <c r="BD179" i="2"/>
  <c r="BE171" i="2"/>
  <c r="BF176" i="2"/>
  <c r="BH176" i="2"/>
  <c r="BI176" i="2"/>
  <c r="BJ176" i="2"/>
  <c r="BK176" i="2"/>
  <c r="BE175" i="2"/>
  <c r="BE179" i="2" s="1"/>
  <c r="BF175" i="2"/>
  <c r="BH175" i="2"/>
  <c r="BI175" i="2"/>
  <c r="BJ175" i="2"/>
  <c r="BK175" i="2"/>
  <c r="BL175" i="2"/>
  <c r="BL179" i="2" s="1"/>
  <c r="H145" i="2"/>
  <c r="H147" i="2"/>
  <c r="H143" i="2"/>
  <c r="O6" i="4"/>
  <c r="O5" i="4"/>
  <c r="O10" i="4" s="1"/>
  <c r="P10" i="4" s="1"/>
  <c r="F10" i="4" s="1"/>
  <c r="G10" i="4" s="1"/>
  <c r="H10" i="4" s="1"/>
  <c r="I10" i="4" s="1"/>
  <c r="J10" i="4" s="1"/>
  <c r="K10" i="4" s="1"/>
  <c r="L10" i="4" s="1"/>
  <c r="M10" i="4" s="1"/>
  <c r="N10" i="4" s="1"/>
  <c r="BD180" i="2" l="1"/>
  <c r="AY180" i="2"/>
  <c r="AZ179" i="2"/>
  <c r="CV30" i="5"/>
  <c r="BI179" i="2"/>
  <c r="BI180" i="2" s="1"/>
  <c r="BH179" i="2"/>
  <c r="BH180" i="2" s="1"/>
  <c r="BF179" i="2"/>
  <c r="BF180" i="2" s="1"/>
  <c r="BG180" i="2"/>
  <c r="BE180" i="2"/>
  <c r="BK179" i="2"/>
  <c r="BL180" i="2"/>
  <c r="BJ179" i="2"/>
  <c r="I138" i="2"/>
  <c r="O11" i="4"/>
  <c r="Q13" i="4"/>
  <c r="Q11" i="4"/>
  <c r="R11" i="4"/>
  <c r="AZ180" i="2" l="1"/>
  <c r="CV32" i="5"/>
  <c r="CV34" i="5" s="1"/>
  <c r="CW30" i="5"/>
  <c r="CX30" i="5" s="1"/>
  <c r="BK180" i="2"/>
  <c r="BJ180" i="2"/>
  <c r="I139" i="2"/>
  <c r="I140" i="2"/>
  <c r="CY30" i="5" l="1"/>
  <c r="I145" i="2"/>
  <c r="I147" i="2"/>
  <c r="I143" i="2"/>
  <c r="CY32" i="5" l="1"/>
  <c r="CY34" i="5" s="1"/>
  <c r="CZ30" i="5"/>
  <c r="DA30" i="5" s="1"/>
  <c r="J138" i="2"/>
  <c r="J140" i="2" s="1"/>
  <c r="DB30" i="5" l="1"/>
  <c r="J139" i="2"/>
  <c r="J147" i="2"/>
  <c r="DB32" i="5" l="1"/>
  <c r="DB34" i="5" s="1"/>
  <c r="DC30" i="5"/>
  <c r="DD30" i="5" s="1"/>
  <c r="J143" i="2"/>
  <c r="J145" i="2"/>
  <c r="DE30" i="5" l="1"/>
  <c r="K138" i="2"/>
  <c r="K140" i="2" s="1"/>
  <c r="DE32" i="5" l="1"/>
  <c r="DE34" i="5" s="1"/>
  <c r="DF30" i="5"/>
  <c r="DG30" i="5" s="1"/>
  <c r="K139" i="2"/>
  <c r="K143" i="2" s="1"/>
  <c r="K147" i="2"/>
  <c r="DH30" i="5" l="1"/>
  <c r="K145" i="2"/>
  <c r="L138" i="2"/>
  <c r="L139" i="2" s="1"/>
  <c r="DH32" i="5" l="1"/>
  <c r="DH34" i="5" s="1"/>
  <c r="DI30" i="5"/>
  <c r="DJ30" i="5" s="1"/>
  <c r="L140" i="2"/>
  <c r="L147" i="2" s="1"/>
  <c r="DK30" i="5" l="1"/>
  <c r="L145" i="2"/>
  <c r="L143" i="2"/>
  <c r="DK32" i="5" l="1"/>
  <c r="DK34" i="5" s="1"/>
  <c r="DL30" i="5"/>
  <c r="DM30" i="5" s="1"/>
  <c r="M138" i="2"/>
  <c r="M139" i="2" s="1"/>
  <c r="DN30" i="5" l="1"/>
  <c r="M140" i="2"/>
  <c r="M147" i="2" s="1"/>
  <c r="DN32" i="5" l="1"/>
  <c r="DN34" i="5" s="1"/>
  <c r="DO30" i="5"/>
  <c r="DP30" i="5" s="1"/>
  <c r="M145" i="2"/>
  <c r="M143" i="2"/>
  <c r="N138" i="2" s="1"/>
  <c r="N139" i="2" s="1"/>
  <c r="DQ30" i="5" l="1"/>
  <c r="N140" i="2"/>
  <c r="N147" i="2" s="1"/>
  <c r="DQ32" i="5" l="1"/>
  <c r="DQ34" i="5" s="1"/>
  <c r="DR30" i="5"/>
  <c r="N145" i="2"/>
  <c r="N143" i="2"/>
  <c r="O138" i="2" s="1"/>
  <c r="O139" i="2" l="1"/>
  <c r="O140" i="2"/>
  <c r="O147" i="2" s="1"/>
  <c r="O143" i="2" l="1"/>
  <c r="O145" i="2"/>
  <c r="P138" i="2" l="1"/>
  <c r="P139" i="2" s="1"/>
  <c r="P140" i="2" l="1"/>
  <c r="P147" i="2" s="1"/>
  <c r="P145" i="2" l="1"/>
  <c r="P143" i="2"/>
  <c r="Q138" i="2" s="1"/>
  <c r="Q139" i="2" s="1"/>
  <c r="Q140" i="2" l="1"/>
  <c r="Q147" i="2" s="1"/>
  <c r="Q145" i="2" l="1"/>
  <c r="Q143" i="2"/>
  <c r="R138" i="2" s="1"/>
  <c r="R139" i="2" s="1"/>
  <c r="R140" i="2" l="1"/>
  <c r="R147" i="2" s="1"/>
  <c r="R145" i="2" l="1"/>
  <c r="R143" i="2"/>
  <c r="S138" i="2" s="1"/>
  <c r="S139" i="2" s="1"/>
  <c r="S140" i="2" l="1"/>
  <c r="S147" i="2" s="1"/>
  <c r="S143" i="2" l="1"/>
  <c r="S145" i="2"/>
  <c r="T138" i="2" l="1"/>
  <c r="T139" i="2" s="1"/>
  <c r="T140" i="2" l="1"/>
  <c r="T147" i="2" s="1"/>
  <c r="T143" i="2" l="1"/>
  <c r="T145" i="2"/>
  <c r="U138" i="2" l="1"/>
  <c r="U139" i="2" s="1"/>
  <c r="U140" i="2" l="1"/>
  <c r="U147" i="2" s="1"/>
  <c r="U145" i="2" l="1"/>
  <c r="U143" i="2"/>
  <c r="V138" i="2" l="1"/>
  <c r="V139" i="2" s="1"/>
  <c r="V140" i="2" l="1"/>
  <c r="V147" i="2" s="1"/>
  <c r="F240" i="2"/>
  <c r="V143" i="2" l="1"/>
  <c r="W138" i="2" s="1"/>
  <c r="W139" i="2" s="1"/>
  <c r="V145" i="2"/>
  <c r="W140" i="2" l="1"/>
  <c r="W147" i="2" s="1"/>
  <c r="W143" i="2" l="1"/>
  <c r="W145" i="2"/>
  <c r="X138" i="2" l="1"/>
  <c r="X139" i="2" s="1"/>
  <c r="X140" i="2" l="1"/>
  <c r="X147" i="2" s="1"/>
  <c r="X145" i="2" l="1"/>
  <c r="X143" i="2"/>
  <c r="Y138" i="2" l="1"/>
  <c r="Y139" i="2" s="1"/>
  <c r="Y140" i="2" l="1"/>
  <c r="Y147" i="2" s="1"/>
  <c r="Y143" i="2" l="1"/>
  <c r="Y145" i="2"/>
  <c r="Z138" i="2" l="1"/>
  <c r="Z139" i="2" s="1"/>
  <c r="Z140" i="2" l="1"/>
  <c r="Z147" i="2" s="1"/>
  <c r="Z145" i="2" l="1"/>
  <c r="Z143" i="2"/>
  <c r="AA138" i="2" s="1"/>
  <c r="AA139" i="2" l="1"/>
  <c r="AA140" i="2"/>
  <c r="AA147" i="2" s="1"/>
  <c r="AA143" i="2" l="1"/>
  <c r="AA145" i="2"/>
  <c r="AB138" i="2" l="1"/>
  <c r="AB139" i="2" s="1"/>
  <c r="AB140" i="2" l="1"/>
  <c r="AB147" i="2" s="1"/>
  <c r="AB145" i="2" l="1"/>
  <c r="AB143" i="2"/>
  <c r="AC138" i="2" s="1"/>
  <c r="AC139" i="2" s="1"/>
  <c r="AC140" i="2" l="1"/>
  <c r="AC147" i="2" s="1"/>
  <c r="AC145" i="2" l="1"/>
  <c r="AC143" i="2"/>
  <c r="AD138" i="2" l="1"/>
  <c r="AD139" i="2" l="1"/>
  <c r="AD140" i="2"/>
  <c r="AD147" i="2" s="1"/>
  <c r="AD143" i="2" l="1"/>
  <c r="AD145" i="2"/>
  <c r="AE138" i="2" l="1"/>
  <c r="AE139" i="2" l="1"/>
  <c r="AE140" i="2"/>
  <c r="AE147" i="2" s="1"/>
  <c r="AE143" i="2" l="1"/>
  <c r="AE145" i="2"/>
  <c r="AF138" i="2" l="1"/>
  <c r="AF139" i="2" l="1"/>
  <c r="AF140" i="2"/>
  <c r="AF147" i="2" s="1"/>
  <c r="AF143" i="2" l="1"/>
  <c r="AF145" i="2"/>
  <c r="AG138" i="2" l="1"/>
  <c r="AG139" i="2" s="1"/>
  <c r="AG140" i="2" l="1"/>
  <c r="AG147" i="2" s="1"/>
  <c r="AG145" i="2" l="1"/>
  <c r="AG143" i="2"/>
  <c r="AH138" i="2" l="1"/>
  <c r="AH139" i="2" s="1"/>
  <c r="AH140" i="2" l="1"/>
  <c r="AH147" i="2" s="1"/>
  <c r="AH145" i="2" l="1"/>
  <c r="AH143" i="2"/>
  <c r="AI138" i="2" s="1"/>
  <c r="AI139" i="2" l="1"/>
  <c r="AI140" i="2"/>
  <c r="AI147" i="2" s="1"/>
  <c r="AI143" i="2" l="1"/>
  <c r="AI145" i="2"/>
  <c r="AJ138" i="2" l="1"/>
  <c r="AJ139" i="2" s="1"/>
  <c r="AJ140" i="2" l="1"/>
  <c r="AJ147" i="2" s="1"/>
  <c r="AJ145" i="2" l="1"/>
  <c r="AJ143" i="2"/>
  <c r="AK138" i="2" l="1"/>
  <c r="AK139" i="2" s="1"/>
  <c r="AK140" i="2" l="1"/>
  <c r="AK147" i="2" s="1"/>
  <c r="AK145" i="2" l="1"/>
  <c r="AK143" i="2"/>
  <c r="AL138" i="2" s="1"/>
  <c r="AL139" i="2" s="1"/>
  <c r="AL140" i="2" l="1"/>
  <c r="AL147" i="2" s="1"/>
  <c r="AL145" i="2" l="1"/>
  <c r="AL143" i="2"/>
  <c r="AM138" i="2" l="1"/>
  <c r="AM139" i="2" s="1"/>
  <c r="AM140" i="2" l="1"/>
  <c r="AM147" i="2" s="1"/>
  <c r="AM145" i="2" l="1"/>
  <c r="AM143" i="2"/>
  <c r="AN138" i="2" l="1"/>
  <c r="AN139" i="2" s="1"/>
  <c r="AN140" i="2" l="1"/>
  <c r="AN147" i="2" s="1"/>
  <c r="AN145" i="2" l="1"/>
  <c r="AN143" i="2"/>
  <c r="AO138" i="2" s="1"/>
  <c r="AO139" i="2" s="1"/>
  <c r="AO140" i="2" l="1"/>
  <c r="AO147" i="2" s="1"/>
  <c r="AO145" i="2" l="1"/>
  <c r="AO143" i="2"/>
  <c r="AP138" i="2" l="1"/>
  <c r="AP140" i="2" l="1"/>
  <c r="AP147" i="2" s="1"/>
  <c r="AP139" i="2"/>
  <c r="AP143" i="2" l="1"/>
  <c r="AP145" i="2"/>
  <c r="AQ138" i="2" l="1"/>
  <c r="AQ139" i="2" l="1"/>
  <c r="AQ140" i="2"/>
  <c r="AQ147" i="2" s="1"/>
  <c r="AQ143" i="2" l="1"/>
  <c r="AQ145" i="2"/>
  <c r="AR138" i="2" l="1"/>
  <c r="AR139" i="2" l="1"/>
  <c r="AR140" i="2"/>
  <c r="AR147" i="2" s="1"/>
  <c r="AR143" i="2" l="1"/>
  <c r="AR145" i="2"/>
  <c r="AS138" i="2" l="1"/>
  <c r="AS139" i="2" l="1"/>
  <c r="AS140" i="2"/>
  <c r="AS147" i="2" s="1"/>
  <c r="AS143" i="2" l="1"/>
  <c r="AS145" i="2"/>
  <c r="AT138" i="2" l="1"/>
  <c r="AT140" i="2" l="1"/>
  <c r="AT147" i="2" s="1"/>
  <c r="AT139" i="2"/>
  <c r="AT143" i="2" l="1"/>
  <c r="AT145" i="2"/>
  <c r="AU138" i="2" l="1"/>
  <c r="AU139" i="2" l="1"/>
  <c r="AU140" i="2"/>
  <c r="C150" i="2" s="1"/>
  <c r="AU143" i="2" l="1"/>
  <c r="AV138" i="2" s="1"/>
  <c r="AU147" i="2"/>
  <c r="C149" i="2" s="1"/>
  <c r="AU145" i="2"/>
  <c r="AV139" i="2" l="1"/>
  <c r="AV140" i="2"/>
  <c r="AV147" i="2" s="1"/>
  <c r="AV143" i="2" l="1"/>
  <c r="AW138" i="2" s="1"/>
  <c r="AV145" i="2"/>
  <c r="AW139" i="2" l="1"/>
  <c r="AW140" i="2"/>
  <c r="AW147" i="2" s="1"/>
  <c r="AW143" i="2" l="1"/>
  <c r="AW145" i="2"/>
  <c r="AX138" i="2" l="1"/>
  <c r="AX139" i="2" s="1"/>
  <c r="AX140" i="2" l="1"/>
  <c r="AX147" i="2" s="1"/>
  <c r="AX145" i="2" l="1"/>
  <c r="AX143" i="2"/>
  <c r="AY138" i="2" l="1"/>
  <c r="AY139" i="2" l="1"/>
  <c r="AY140" i="2"/>
  <c r="AY147" i="2" s="1"/>
  <c r="AY145" i="2" l="1"/>
  <c r="AY143" i="2"/>
  <c r="AZ138" i="2" l="1"/>
  <c r="AZ139" i="2" l="1"/>
  <c r="AZ140" i="2"/>
  <c r="AZ147" i="2" s="1"/>
  <c r="AZ143" i="2" l="1"/>
  <c r="AZ145" i="2"/>
  <c r="K19" i="2" l="1"/>
  <c r="I199" i="2"/>
  <c r="AW199" i="2"/>
  <c r="AM199" i="2"/>
  <c r="AC199" i="2"/>
  <c r="S199" i="2"/>
  <c r="AR199" i="2"/>
  <c r="AP199" i="2"/>
  <c r="AE199" i="2"/>
  <c r="AX199" i="2"/>
  <c r="AD199" i="2"/>
  <c r="AV199" i="2"/>
  <c r="AL199" i="2"/>
  <c r="AB199" i="2"/>
  <c r="R199" i="2"/>
  <c r="H199" i="2"/>
  <c r="W199" i="2"/>
  <c r="L199" i="2"/>
  <c r="AU199" i="2"/>
  <c r="AK199" i="2"/>
  <c r="AA199" i="2"/>
  <c r="Q199" i="2"/>
  <c r="AH199" i="2"/>
  <c r="AQ199" i="2"/>
  <c r="U199" i="2"/>
  <c r="T199" i="2"/>
  <c r="AT199" i="2"/>
  <c r="AJ199" i="2"/>
  <c r="Z199" i="2"/>
  <c r="P199" i="2"/>
  <c r="X199" i="2"/>
  <c r="M199" i="2"/>
  <c r="AF199" i="2"/>
  <c r="AY199" i="2"/>
  <c r="AN199" i="2"/>
  <c r="AS199" i="2"/>
  <c r="AI199" i="2"/>
  <c r="Y199" i="2"/>
  <c r="O199" i="2"/>
  <c r="N199" i="2"/>
  <c r="AG199" i="2"/>
  <c r="AZ199" i="2"/>
  <c r="V199" i="2"/>
  <c r="K199" i="2"/>
  <c r="AO199" i="2"/>
  <c r="O6" i="2"/>
  <c r="F124" i="2" l="1"/>
  <c r="G125" i="2" s="1"/>
  <c r="K25" i="2"/>
  <c r="K26" i="2"/>
  <c r="BM199" i="2"/>
  <c r="BE199" i="2"/>
  <c r="BF199" i="2"/>
  <c r="BL199" i="2"/>
  <c r="BG199" i="2"/>
  <c r="BI199" i="2"/>
  <c r="BJ199" i="2"/>
  <c r="BK199" i="2"/>
  <c r="BH199" i="2"/>
  <c r="BD199" i="2"/>
  <c r="G159" i="2"/>
  <c r="AQ201" i="2"/>
  <c r="AR203" i="2" s="1"/>
  <c r="AG201" i="2"/>
  <c r="AH203" i="2" s="1"/>
  <c r="W201" i="2"/>
  <c r="X203" i="2" s="1"/>
  <c r="M201" i="2"/>
  <c r="N203" i="2" s="1"/>
  <c r="AJ201" i="2"/>
  <c r="AK203" i="2" s="1"/>
  <c r="AI201" i="2"/>
  <c r="AJ203" i="2" s="1"/>
  <c r="AR201" i="2"/>
  <c r="AS203" i="2" s="1"/>
  <c r="AH201" i="2"/>
  <c r="AI203" i="2" s="1"/>
  <c r="X201" i="2"/>
  <c r="Y203" i="2" s="1"/>
  <c r="AZ201" i="2"/>
  <c r="AP201" i="2"/>
  <c r="AQ203" i="2" s="1"/>
  <c r="AF201" i="2"/>
  <c r="AG203" i="2" s="1"/>
  <c r="V201" i="2"/>
  <c r="W203" i="2" s="1"/>
  <c r="L201" i="2"/>
  <c r="M203" i="2" s="1"/>
  <c r="AL201" i="2"/>
  <c r="AM203" i="2" s="1"/>
  <c r="H201" i="2"/>
  <c r="I203" i="2" s="1"/>
  <c r="I159" i="2" s="1"/>
  <c r="Q201" i="2"/>
  <c r="R203" i="2" s="1"/>
  <c r="P201" i="2"/>
  <c r="Q203" i="2" s="1"/>
  <c r="O201" i="2"/>
  <c r="P203" i="2" s="1"/>
  <c r="AY201" i="2"/>
  <c r="AZ203" i="2" s="1"/>
  <c r="AO201" i="2"/>
  <c r="AP203" i="2" s="1"/>
  <c r="AE201" i="2"/>
  <c r="AF203" i="2" s="1"/>
  <c r="U201" i="2"/>
  <c r="V203" i="2" s="1"/>
  <c r="K201" i="2"/>
  <c r="L203" i="2" s="1"/>
  <c r="AB201" i="2"/>
  <c r="AC203" i="2" s="1"/>
  <c r="AU201" i="2"/>
  <c r="AV203" i="2" s="1"/>
  <c r="AS201" i="2"/>
  <c r="AT203" i="2" s="1"/>
  <c r="N201" i="2"/>
  <c r="O203" i="2" s="1"/>
  <c r="AX201" i="2"/>
  <c r="AY203" i="2" s="1"/>
  <c r="AN201" i="2"/>
  <c r="AO203" i="2" s="1"/>
  <c r="AD201" i="2"/>
  <c r="AE203" i="2" s="1"/>
  <c r="T201" i="2"/>
  <c r="U203" i="2" s="1"/>
  <c r="H203" i="2"/>
  <c r="H159" i="2" s="1"/>
  <c r="Z201" i="2"/>
  <c r="AA203" i="2" s="1"/>
  <c r="AW201" i="2"/>
  <c r="AX203" i="2" s="1"/>
  <c r="AM201" i="2"/>
  <c r="AN203" i="2" s="1"/>
  <c r="AC201" i="2"/>
  <c r="AD203" i="2" s="1"/>
  <c r="S201" i="2"/>
  <c r="T203" i="2" s="1"/>
  <c r="I201" i="2"/>
  <c r="J203" i="2" s="1"/>
  <c r="J159" i="2" s="1"/>
  <c r="AV201" i="2"/>
  <c r="AW203" i="2" s="1"/>
  <c r="R201" i="2"/>
  <c r="S203" i="2" s="1"/>
  <c r="AA201" i="2"/>
  <c r="AB203" i="2" s="1"/>
  <c r="AT201" i="2"/>
  <c r="AU203" i="2" s="1"/>
  <c r="Y201" i="2"/>
  <c r="Z203" i="2" s="1"/>
  <c r="AK201" i="2"/>
  <c r="AL203" i="2" s="1"/>
  <c r="O8" i="2"/>
  <c r="L19" i="2"/>
  <c r="L25" i="2" s="1"/>
  <c r="G186" i="2" l="1"/>
  <c r="BL201" i="2"/>
  <c r="BH201" i="2"/>
  <c r="BM201" i="2"/>
  <c r="BF201" i="2"/>
  <c r="BI201" i="2"/>
  <c r="BE201" i="2"/>
  <c r="BD201" i="2"/>
  <c r="BG201" i="2"/>
  <c r="BK201" i="2"/>
  <c r="BJ201" i="2"/>
  <c r="F196" i="2"/>
  <c r="BD196" i="2" s="1"/>
  <c r="O13" i="2"/>
  <c r="F189" i="2"/>
  <c r="O14" i="2"/>
  <c r="M19" i="2"/>
  <c r="M25" i="2" s="1"/>
  <c r="L26" i="2"/>
  <c r="G124" i="2" l="1"/>
  <c r="H126" i="2" s="1"/>
  <c r="BM203" i="2"/>
  <c r="BG203" i="2"/>
  <c r="BF203" i="2"/>
  <c r="BK203" i="2"/>
  <c r="BD203" i="2"/>
  <c r="BL203" i="2"/>
  <c r="BJ203" i="2"/>
  <c r="BE203" i="2"/>
  <c r="BI203" i="2"/>
  <c r="BH203" i="2"/>
  <c r="M26" i="2"/>
  <c r="F160" i="2"/>
  <c r="F214" i="2" s="1"/>
  <c r="O15" i="2"/>
  <c r="F192" i="2"/>
  <c r="F191" i="2"/>
  <c r="F193" i="2" s="1"/>
  <c r="H186" i="2" l="1"/>
  <c r="AZ126" i="2"/>
  <c r="AZ186" i="2" s="1"/>
  <c r="AP126" i="2"/>
  <c r="AP186" i="2" s="1"/>
  <c r="AF126" i="2"/>
  <c r="AF186" i="2" s="1"/>
  <c r="V126" i="2"/>
  <c r="V186" i="2" s="1"/>
  <c r="L126" i="2"/>
  <c r="L186" i="2" s="1"/>
  <c r="AY126" i="2"/>
  <c r="AY186" i="2" s="1"/>
  <c r="AO126" i="2"/>
  <c r="AO186" i="2" s="1"/>
  <c r="AE126" i="2"/>
  <c r="AE186" i="2" s="1"/>
  <c r="U126" i="2"/>
  <c r="U186" i="2" s="1"/>
  <c r="K126" i="2"/>
  <c r="K186" i="2" s="1"/>
  <c r="AW126" i="2"/>
  <c r="AW186" i="2" s="1"/>
  <c r="AC126" i="2"/>
  <c r="AC186" i="2" s="1"/>
  <c r="S126" i="2"/>
  <c r="S186" i="2" s="1"/>
  <c r="AL126" i="2"/>
  <c r="AL186" i="2" s="1"/>
  <c r="AB126" i="2"/>
  <c r="AB186" i="2" s="1"/>
  <c r="R126" i="2"/>
  <c r="R186" i="2" s="1"/>
  <c r="AX126" i="2"/>
  <c r="AX186" i="2" s="1"/>
  <c r="AN126" i="2"/>
  <c r="AN186" i="2" s="1"/>
  <c r="AD126" i="2"/>
  <c r="AD186" i="2" s="1"/>
  <c r="T126" i="2"/>
  <c r="T186" i="2" s="1"/>
  <c r="J126" i="2"/>
  <c r="J186" i="2" s="1"/>
  <c r="AM126" i="2"/>
  <c r="AM186" i="2" s="1"/>
  <c r="I126" i="2"/>
  <c r="I186" i="2" s="1"/>
  <c r="AI126" i="2"/>
  <c r="AI186" i="2" s="1"/>
  <c r="AK126" i="2"/>
  <c r="AK186" i="2" s="1"/>
  <c r="AR126" i="2"/>
  <c r="AR186" i="2" s="1"/>
  <c r="AV126" i="2"/>
  <c r="AV186" i="2" s="1"/>
  <c r="AA126" i="2"/>
  <c r="AA186" i="2" s="1"/>
  <c r="Q126" i="2"/>
  <c r="Q186" i="2" s="1"/>
  <c r="AH126" i="2"/>
  <c r="AH186" i="2" s="1"/>
  <c r="W126" i="2"/>
  <c r="W186" i="2" s="1"/>
  <c r="AU126" i="2"/>
  <c r="AU186" i="2" s="1"/>
  <c r="AS126" i="2"/>
  <c r="AS186" i="2" s="1"/>
  <c r="Y126" i="2"/>
  <c r="Y186" i="2" s="1"/>
  <c r="N126" i="2"/>
  <c r="N186" i="2" s="1"/>
  <c r="AG126" i="2"/>
  <c r="AG186" i="2" s="1"/>
  <c r="M126" i="2"/>
  <c r="M186" i="2" s="1"/>
  <c r="AT126" i="2"/>
  <c r="AT186" i="2" s="1"/>
  <c r="AJ126" i="2"/>
  <c r="AJ186" i="2" s="1"/>
  <c r="Z126" i="2"/>
  <c r="Z186" i="2" s="1"/>
  <c r="P126" i="2"/>
  <c r="P186" i="2" s="1"/>
  <c r="O126" i="2"/>
  <c r="O186" i="2" s="1"/>
  <c r="X126" i="2"/>
  <c r="X186" i="2" s="1"/>
  <c r="AQ126" i="2"/>
  <c r="AQ186" i="2" s="1"/>
  <c r="H124" i="2"/>
  <c r="F208" i="2"/>
  <c r="G155" i="2"/>
  <c r="G156" i="2" s="1"/>
  <c r="I124" i="2" l="1"/>
  <c r="J124" i="2" s="1"/>
  <c r="K124" i="2" s="1"/>
  <c r="L124" i="2" s="1"/>
  <c r="M124" i="2" s="1"/>
  <c r="N124" i="2" s="1"/>
  <c r="O124" i="2" s="1"/>
  <c r="P124" i="2" s="1"/>
  <c r="Q124" i="2" s="1"/>
  <c r="R124" i="2" s="1"/>
  <c r="S124" i="2" s="1"/>
  <c r="T124" i="2" s="1"/>
  <c r="U124" i="2" s="1"/>
  <c r="V124" i="2" s="1"/>
  <c r="W124" i="2" s="1"/>
  <c r="X124" i="2" s="1"/>
  <c r="Y124" i="2" s="1"/>
  <c r="Z124" i="2" s="1"/>
  <c r="AA124" i="2" s="1"/>
  <c r="AB124" i="2" s="1"/>
  <c r="AC124" i="2" s="1"/>
  <c r="AD124" i="2" s="1"/>
  <c r="AE124" i="2" s="1"/>
  <c r="AF124" i="2" s="1"/>
  <c r="AG124" i="2" s="1"/>
  <c r="AH124" i="2" s="1"/>
  <c r="AI124" i="2" s="1"/>
  <c r="AJ124" i="2" s="1"/>
  <c r="AK124" i="2" s="1"/>
  <c r="AL124" i="2" s="1"/>
  <c r="AM124" i="2" s="1"/>
  <c r="AN124" i="2" s="1"/>
  <c r="AO124" i="2" s="1"/>
  <c r="AP124" i="2" s="1"/>
  <c r="AQ124" i="2" s="1"/>
  <c r="AR124" i="2" s="1"/>
  <c r="AS124" i="2" s="1"/>
  <c r="AT124" i="2" s="1"/>
  <c r="AU124" i="2" s="1"/>
  <c r="AV124" i="2" s="1"/>
  <c r="AW124" i="2" s="1"/>
  <c r="AX124" i="2" s="1"/>
  <c r="AY124" i="2" s="1"/>
  <c r="AZ124" i="2" s="1"/>
  <c r="F233" i="2"/>
  <c r="F211" i="2" s="1"/>
  <c r="G183" i="2" l="1"/>
  <c r="H183" i="2"/>
  <c r="I183" i="2"/>
  <c r="J183" i="2"/>
  <c r="K183" i="2"/>
  <c r="F210" i="2"/>
  <c r="G185" i="2"/>
  <c r="G162" i="2"/>
  <c r="G206" i="2" s="1"/>
  <c r="G197" i="2"/>
  <c r="G160" i="2" l="1"/>
  <c r="G214" i="2" s="1"/>
  <c r="G182" i="2"/>
  <c r="G231" i="2"/>
  <c r="H155" i="2" l="1"/>
  <c r="H156" i="2" l="1"/>
  <c r="G238" i="2" l="1"/>
  <c r="H185" i="2"/>
  <c r="H162" i="2"/>
  <c r="G240" i="2" l="1"/>
  <c r="H197" i="2"/>
  <c r="H160" i="2"/>
  <c r="H214" i="2" s="1"/>
  <c r="H206" i="2"/>
  <c r="I155" i="2" l="1"/>
  <c r="H250" i="2" l="1"/>
  <c r="I156" i="2"/>
  <c r="H252" i="2" l="1"/>
  <c r="H238" i="2"/>
  <c r="I185" i="2"/>
  <c r="I162" i="2"/>
  <c r="H240" i="2" l="1"/>
  <c r="I197" i="2"/>
  <c r="I160" i="2"/>
  <c r="I214" i="2" s="1"/>
  <c r="I206" i="2"/>
  <c r="J155" i="2" l="1"/>
  <c r="J156" i="2" s="1"/>
  <c r="J197" i="2" l="1"/>
  <c r="J162" i="2"/>
  <c r="J206" i="2" s="1"/>
  <c r="I250" i="2" l="1"/>
  <c r="I262" i="2"/>
  <c r="J160" i="2"/>
  <c r="J214" i="2" s="1"/>
  <c r="I224" i="2"/>
  <c r="I228" i="2"/>
  <c r="I238" i="2"/>
  <c r="J185" i="2"/>
  <c r="I252" i="2" l="1"/>
  <c r="I264" i="2"/>
  <c r="I240" i="2"/>
  <c r="K155" i="2" l="1"/>
  <c r="K156" i="2" l="1"/>
  <c r="K159" i="2" s="1"/>
  <c r="K160" i="2" l="1"/>
  <c r="K214" i="2" s="1"/>
  <c r="K197" i="2"/>
  <c r="K185" i="2"/>
  <c r="K162" i="2"/>
  <c r="K206" i="2" s="1"/>
  <c r="L155" i="2" l="1"/>
  <c r="L156" i="2" l="1"/>
  <c r="L197" i="2" s="1"/>
  <c r="L160" i="2" l="1"/>
  <c r="L214" i="2" s="1"/>
  <c r="L185" i="2"/>
  <c r="L162" i="2"/>
  <c r="L206" i="2" l="1"/>
  <c r="M155" i="2" l="1"/>
  <c r="M156" i="2" s="1"/>
  <c r="M185" i="2" l="1"/>
  <c r="M197" i="2"/>
  <c r="M162" i="2"/>
  <c r="M160" i="2" l="1"/>
  <c r="M214" i="2" s="1"/>
  <c r="M206" i="2"/>
  <c r="N155" i="2" l="1"/>
  <c r="N156" i="2" s="1"/>
  <c r="N185" i="2" l="1"/>
  <c r="N197" i="2"/>
  <c r="N162" i="2"/>
  <c r="N160" i="2" l="1"/>
  <c r="N214" i="2" s="1"/>
  <c r="N206" i="2"/>
  <c r="O155" i="2" l="1"/>
  <c r="O156" i="2" l="1"/>
  <c r="O185" i="2" l="1"/>
  <c r="O162" i="2"/>
  <c r="O197" i="2" l="1"/>
  <c r="O160" i="2"/>
  <c r="O214" i="2" s="1"/>
  <c r="O206" i="2"/>
  <c r="P155" i="2" l="1"/>
  <c r="P156" i="2" l="1"/>
  <c r="P185" i="2" l="1"/>
  <c r="P162" i="2"/>
  <c r="P197" i="2" l="1"/>
  <c r="P160" i="2"/>
  <c r="P214" i="2" s="1"/>
  <c r="P206" i="2"/>
  <c r="Q155" i="2" l="1"/>
  <c r="Q156" i="2" l="1"/>
  <c r="Q185" i="2" l="1"/>
  <c r="Q197" i="2"/>
  <c r="Q162" i="2"/>
  <c r="Q160" i="2" l="1"/>
  <c r="Q214" i="2" s="1"/>
  <c r="Q206" i="2"/>
  <c r="R155" i="2" l="1"/>
  <c r="R156" i="2" s="1"/>
  <c r="R185" i="2" l="1"/>
  <c r="R197" i="2"/>
  <c r="R162" i="2"/>
  <c r="BF185" i="2" l="1"/>
  <c r="R206" i="2"/>
  <c r="R160" i="2"/>
  <c r="R214" i="2" s="1"/>
  <c r="S155" i="2" l="1"/>
  <c r="S156" i="2" l="1"/>
  <c r="S185" i="2" l="1"/>
  <c r="S197" i="2"/>
  <c r="S162" i="2"/>
  <c r="S160" i="2" l="1"/>
  <c r="S214" i="2" s="1"/>
  <c r="S206" i="2"/>
  <c r="T155" i="2" l="1"/>
  <c r="T156" i="2" s="1"/>
  <c r="T185" i="2" l="1"/>
  <c r="T162" i="2"/>
  <c r="T197" i="2" l="1"/>
  <c r="T160" i="2"/>
  <c r="T214" i="2" s="1"/>
  <c r="T206" i="2"/>
  <c r="U155" i="2" l="1"/>
  <c r="U156" i="2" l="1"/>
  <c r="U185" i="2" l="1"/>
  <c r="U197" i="2"/>
  <c r="U162" i="2"/>
  <c r="U160" i="2" l="1"/>
  <c r="U214" i="2" s="1"/>
  <c r="U206" i="2"/>
  <c r="V155" i="2" l="1"/>
  <c r="V156" i="2" l="1"/>
  <c r="V185" i="2" l="1"/>
  <c r="V197" i="2"/>
  <c r="V162" i="2"/>
  <c r="BG185" i="2" l="1"/>
  <c r="V160" i="2"/>
  <c r="V214" i="2" s="1"/>
  <c r="V206" i="2"/>
  <c r="W155" i="2" l="1"/>
  <c r="W156" i="2" l="1"/>
  <c r="W185" i="2" l="1"/>
  <c r="W197" i="2"/>
  <c r="W162" i="2"/>
  <c r="W160" i="2" l="1"/>
  <c r="W214" i="2" s="1"/>
  <c r="W206" i="2"/>
  <c r="X155" i="2" l="1"/>
  <c r="X156" i="2" s="1"/>
  <c r="X185" i="2" l="1"/>
  <c r="X162" i="2"/>
  <c r="X206" i="2" l="1"/>
  <c r="X197" i="2"/>
  <c r="X160" i="2"/>
  <c r="X214" i="2" s="1"/>
  <c r="Y155" i="2" l="1"/>
  <c r="Y156" i="2" l="1"/>
  <c r="Y185" i="2" l="1"/>
  <c r="Y197" i="2"/>
  <c r="Y162" i="2"/>
  <c r="Y160" i="2" l="1"/>
  <c r="Y214" i="2" s="1"/>
  <c r="Y206" i="2"/>
  <c r="Z155" i="2" l="1"/>
  <c r="Z156" i="2" s="1"/>
  <c r="Z185" i="2" l="1"/>
  <c r="Z197" i="2"/>
  <c r="Z162" i="2"/>
  <c r="BH185" i="2" l="1"/>
  <c r="Z160" i="2"/>
  <c r="Z214" i="2" s="1"/>
  <c r="Z206" i="2"/>
  <c r="AA155" i="2" l="1"/>
  <c r="AA156" i="2" l="1"/>
  <c r="AA185" i="2" l="1"/>
  <c r="AA162" i="2"/>
  <c r="AA206" i="2" l="1"/>
  <c r="AA197" i="2"/>
  <c r="AA160" i="2"/>
  <c r="AA214" i="2" s="1"/>
  <c r="AB155" i="2" l="1"/>
  <c r="AB156" i="2" l="1"/>
  <c r="AB185" i="2" l="1"/>
  <c r="AB162" i="2"/>
  <c r="AB206" i="2" l="1"/>
  <c r="AB197" i="2"/>
  <c r="AB160" i="2"/>
  <c r="AB214" i="2" s="1"/>
  <c r="AC155" i="2" l="1"/>
  <c r="AC156" i="2" l="1"/>
  <c r="AC185" i="2" l="1"/>
  <c r="AC162" i="2"/>
  <c r="AC206" i="2" l="1"/>
  <c r="AC197" i="2"/>
  <c r="AC160" i="2"/>
  <c r="AC214" i="2" s="1"/>
  <c r="AD155" i="2" l="1"/>
  <c r="AD156" i="2" l="1"/>
  <c r="AD185" i="2" l="1"/>
  <c r="AD162" i="2"/>
  <c r="BI185" i="2" l="1"/>
  <c r="AD206" i="2"/>
  <c r="AD197" i="2"/>
  <c r="AD160" i="2"/>
  <c r="AD214" i="2" s="1"/>
  <c r="AE155" i="2" l="1"/>
  <c r="AE156" i="2" l="1"/>
  <c r="AE185" i="2" l="1"/>
  <c r="AE162" i="2"/>
  <c r="AE206" i="2" l="1"/>
  <c r="AE197" i="2"/>
  <c r="AE160" i="2"/>
  <c r="AE214" i="2" s="1"/>
  <c r="AF155" i="2" l="1"/>
  <c r="AF156" i="2" l="1"/>
  <c r="AF185" i="2" l="1"/>
  <c r="AF197" i="2"/>
  <c r="AF162" i="2"/>
  <c r="AF160" i="2" l="1"/>
  <c r="AF214" i="2" s="1"/>
  <c r="AF206" i="2"/>
  <c r="AG155" i="2" l="1"/>
  <c r="AG156" i="2" s="1"/>
  <c r="AG185" i="2" l="1"/>
  <c r="AG162" i="2"/>
  <c r="AG197" i="2" l="1"/>
  <c r="AG160" i="2"/>
  <c r="AG214" i="2" s="1"/>
  <c r="AG206" i="2"/>
  <c r="AH155" i="2" l="1"/>
  <c r="AH156" i="2" l="1"/>
  <c r="AH185" i="2" l="1"/>
  <c r="AH197" i="2"/>
  <c r="AH162" i="2"/>
  <c r="BJ185" i="2" l="1"/>
  <c r="AH160" i="2"/>
  <c r="AH214" i="2" s="1"/>
  <c r="AH206" i="2"/>
  <c r="AI155" i="2" l="1"/>
  <c r="AI156" i="2" s="1"/>
  <c r="AI185" i="2" l="1"/>
  <c r="AI162" i="2"/>
  <c r="AI206" i="2" l="1"/>
  <c r="AI197" i="2"/>
  <c r="AI160" i="2"/>
  <c r="AI214" i="2" s="1"/>
  <c r="AJ155" i="2" l="1"/>
  <c r="AJ156" i="2" l="1"/>
  <c r="AJ185" i="2" l="1"/>
  <c r="AJ197" i="2"/>
  <c r="AJ162" i="2"/>
  <c r="AJ160" i="2" l="1"/>
  <c r="AJ214" i="2" s="1"/>
  <c r="AJ206" i="2"/>
  <c r="AK155" i="2" l="1"/>
  <c r="AK156" i="2" s="1"/>
  <c r="AK185" i="2" l="1"/>
  <c r="AK197" i="2"/>
  <c r="AK162" i="2"/>
  <c r="AK160" i="2" l="1"/>
  <c r="AK214" i="2" s="1"/>
  <c r="AK206" i="2"/>
  <c r="AL155" i="2" l="1"/>
  <c r="AL156" i="2" s="1"/>
  <c r="AL185" i="2" l="1"/>
  <c r="AL197" i="2"/>
  <c r="AL162" i="2"/>
  <c r="BK185" i="2" l="1"/>
  <c r="AL160" i="2"/>
  <c r="AL214" i="2" s="1"/>
  <c r="AL206" i="2"/>
  <c r="AM155" i="2" l="1"/>
  <c r="AM156" i="2" s="1"/>
  <c r="AM185" i="2" l="1"/>
  <c r="AM197" i="2"/>
  <c r="AM162" i="2"/>
  <c r="AM160" i="2" l="1"/>
  <c r="AM214" i="2" s="1"/>
  <c r="AM206" i="2"/>
  <c r="AN155" i="2" l="1"/>
  <c r="AN156" i="2" l="1"/>
  <c r="AN185" i="2" l="1"/>
  <c r="AN162" i="2"/>
  <c r="AN206" i="2" l="1"/>
  <c r="AN197" i="2"/>
  <c r="AN160" i="2"/>
  <c r="AN214" i="2" s="1"/>
  <c r="AO155" i="2" l="1"/>
  <c r="AO156" i="2" l="1"/>
  <c r="AO185" i="2" l="1"/>
  <c r="AO197" i="2"/>
  <c r="AO162" i="2"/>
  <c r="AO160" i="2" l="1"/>
  <c r="AO214" i="2" s="1"/>
  <c r="AO206" i="2"/>
  <c r="AP155" i="2" l="1"/>
  <c r="AP156" i="2" s="1"/>
  <c r="AP185" i="2" l="1"/>
  <c r="AP197" i="2"/>
  <c r="AP162" i="2"/>
  <c r="BL185" i="2" l="1"/>
  <c r="AP160" i="2"/>
  <c r="AP214" i="2" s="1"/>
  <c r="AP206" i="2"/>
  <c r="AQ155" i="2" l="1"/>
  <c r="AQ156" i="2" s="1"/>
  <c r="AQ185" i="2" l="1"/>
  <c r="AQ197" i="2"/>
  <c r="AQ162" i="2"/>
  <c r="AQ160" i="2" l="1"/>
  <c r="AQ214" i="2" s="1"/>
  <c r="AQ206" i="2"/>
  <c r="AR155" i="2" l="1"/>
  <c r="AR156" i="2" s="1"/>
  <c r="AR185" i="2" l="1"/>
  <c r="AR162" i="2"/>
  <c r="AR206" i="2" l="1"/>
  <c r="AR197" i="2"/>
  <c r="AR160" i="2"/>
  <c r="AR214" i="2" s="1"/>
  <c r="AS155" i="2" l="1"/>
  <c r="AS156" i="2" l="1"/>
  <c r="AS185" i="2" l="1"/>
  <c r="AS197" i="2"/>
  <c r="AS162" i="2"/>
  <c r="AS160" i="2" l="1"/>
  <c r="AS214" i="2" s="1"/>
  <c r="AS206" i="2"/>
  <c r="AT155" i="2" l="1"/>
  <c r="AT156" i="2" s="1"/>
  <c r="AT185" i="2" l="1"/>
  <c r="AT162" i="2"/>
  <c r="BM185" i="2" l="1"/>
  <c r="AT206" i="2"/>
  <c r="AT197" i="2"/>
  <c r="AT160" i="2"/>
  <c r="AT214" i="2" s="1"/>
  <c r="AU155" i="2" l="1"/>
  <c r="AU156" i="2" l="1"/>
  <c r="AU185" i="2" l="1"/>
  <c r="AU197" i="2"/>
  <c r="AU162" i="2"/>
  <c r="AU160" i="2" l="1"/>
  <c r="AU214" i="2" s="1"/>
  <c r="AU206" i="2"/>
  <c r="AV155" i="2" l="1"/>
  <c r="AV156" i="2" l="1"/>
  <c r="AV185" i="2" l="1"/>
  <c r="AV197" i="2"/>
  <c r="AV162" i="2"/>
  <c r="AV160" i="2" l="1"/>
  <c r="AV214" i="2" s="1"/>
  <c r="AV206" i="2"/>
  <c r="AW155" i="2" l="1"/>
  <c r="AW156" i="2" l="1"/>
  <c r="AW185" i="2" l="1"/>
  <c r="AW197" i="2"/>
  <c r="AW162" i="2"/>
  <c r="AW160" i="2" l="1"/>
  <c r="AW214" i="2" s="1"/>
  <c r="AW206" i="2"/>
  <c r="AX155" i="2" l="1"/>
  <c r="AX156" i="2" s="1"/>
  <c r="AX185" i="2" l="1"/>
  <c r="AX162" i="2"/>
  <c r="AX206" i="2" l="1"/>
  <c r="AX197" i="2"/>
  <c r="AX160" i="2"/>
  <c r="AX214" i="2" s="1"/>
  <c r="AY155" i="2" l="1"/>
  <c r="AY156" i="2" l="1"/>
  <c r="AY185" i="2" l="1"/>
  <c r="AY197" i="2"/>
  <c r="AY162" i="2"/>
  <c r="AY160" i="2" l="1"/>
  <c r="AY214" i="2" s="1"/>
  <c r="AY206" i="2"/>
  <c r="AZ155" i="2" l="1"/>
  <c r="AZ156" i="2" l="1"/>
  <c r="AZ185" i="2" l="1"/>
  <c r="AZ162" i="2"/>
  <c r="AZ206" i="2" s="1"/>
  <c r="BD206" i="2" l="1"/>
  <c r="BE206" i="2"/>
  <c r="BF206" i="2"/>
  <c r="BG206" i="2"/>
  <c r="BH206" i="2"/>
  <c r="BI206" i="2"/>
  <c r="BJ206" i="2"/>
  <c r="BK206" i="2"/>
  <c r="BL206" i="2"/>
  <c r="BM206" i="2"/>
  <c r="BD185" i="2"/>
  <c r="BE185" i="2"/>
  <c r="AZ197" i="2"/>
  <c r="BD197" i="2" s="1"/>
  <c r="AZ160" i="2"/>
  <c r="AZ214" i="2" s="1"/>
  <c r="K7" i="2"/>
  <c r="BE214" i="2" l="1"/>
  <c r="BF214" i="2"/>
  <c r="BG214" i="2"/>
  <c r="BH214" i="2"/>
  <c r="BI214" i="2"/>
  <c r="BJ214" i="2"/>
  <c r="BK214" i="2"/>
  <c r="BL214" i="2"/>
  <c r="BM214" i="2"/>
  <c r="BE197" i="2"/>
  <c r="BF197" i="2"/>
  <c r="BG197" i="2"/>
  <c r="BH197" i="2"/>
  <c r="BI197" i="2"/>
  <c r="BJ197" i="2"/>
  <c r="BK197" i="2"/>
  <c r="BL197" i="2"/>
  <c r="BM197" i="2"/>
  <c r="K6" i="2"/>
  <c r="K15" i="2" s="1"/>
  <c r="K195" i="2"/>
  <c r="BE195" i="2" s="1"/>
  <c r="C86" i="2"/>
  <c r="D23" i="5" s="1"/>
  <c r="BD215" i="2" l="1"/>
  <c r="L217" i="2"/>
  <c r="L226" i="2" l="1"/>
  <c r="J224" i="2"/>
  <c r="BD226" i="2"/>
  <c r="M217" i="2"/>
  <c r="M226" i="2" l="1"/>
  <c r="J238" i="2"/>
  <c r="J240" i="2" s="1"/>
  <c r="J228" i="2"/>
  <c r="J250" i="2"/>
  <c r="J262" i="2"/>
  <c r="N217" i="2"/>
  <c r="N226" i="2" l="1"/>
  <c r="J252" i="2"/>
  <c r="J264" i="2"/>
  <c r="O217" i="2"/>
  <c r="O226" i="2" l="1"/>
  <c r="P217" i="2"/>
  <c r="P226" i="2" s="1"/>
  <c r="Q217" i="2" l="1"/>
  <c r="Q226" i="2" s="1"/>
  <c r="R217" i="2" l="1"/>
  <c r="R226" i="2" s="1"/>
  <c r="S217" i="2" l="1"/>
  <c r="S226" i="2" s="1"/>
  <c r="T217" i="2" l="1"/>
  <c r="T226" i="2" s="1"/>
  <c r="U217" i="2" l="1"/>
  <c r="U226" i="2" s="1"/>
  <c r="V217" i="2" l="1"/>
  <c r="V226" i="2" s="1"/>
  <c r="W217" i="2" l="1"/>
  <c r="W226" i="2" s="1"/>
  <c r="X217" i="2" l="1"/>
  <c r="X226" i="2" s="1"/>
  <c r="Y217" i="2" l="1"/>
  <c r="Y226" i="2" s="1"/>
  <c r="Z217" i="2" l="1"/>
  <c r="Z226" i="2" s="1"/>
  <c r="AA217" i="2" l="1"/>
  <c r="AB217" i="2" l="1"/>
  <c r="AA226" i="2"/>
  <c r="K250" i="2"/>
  <c r="AC217" i="2" l="1"/>
  <c r="AB226" i="2"/>
  <c r="L228" i="2"/>
  <c r="K252" i="2"/>
  <c r="K238" i="2"/>
  <c r="E32" i="5" s="1"/>
  <c r="E34" i="5" s="1"/>
  <c r="K228" i="2"/>
  <c r="K262" i="2"/>
  <c r="AD217" i="2" l="1"/>
  <c r="AC226" i="2"/>
  <c r="K264" i="2"/>
  <c r="K240" i="2"/>
  <c r="L262" i="2"/>
  <c r="C268" i="2" s="1"/>
  <c r="L238" i="2"/>
  <c r="L250" i="2"/>
  <c r="C256" i="2" s="1"/>
  <c r="H32" i="5" l="1"/>
  <c r="H34" i="5" s="1"/>
  <c r="L264" i="2"/>
  <c r="C244" i="2"/>
  <c r="AE217" i="2"/>
  <c r="AD226" i="2"/>
  <c r="L252" i="2"/>
  <c r="L240" i="2"/>
  <c r="AF217" i="2" l="1"/>
  <c r="AE226" i="2"/>
  <c r="I32" i="5"/>
  <c r="C32" i="5"/>
  <c r="P32" i="5"/>
  <c r="G32" i="5"/>
  <c r="AB32" i="5"/>
  <c r="M32" i="5"/>
  <c r="S32" i="5"/>
  <c r="V32" i="5"/>
  <c r="F32" i="5"/>
  <c r="Y32" i="5"/>
  <c r="J32" i="5"/>
  <c r="D32" i="5"/>
  <c r="L32" i="5"/>
  <c r="AE32" i="5"/>
  <c r="AH32" i="5"/>
  <c r="AK32" i="5"/>
  <c r="AN32" i="5"/>
  <c r="AQ32" i="5"/>
  <c r="AT32" i="5"/>
  <c r="AW32" i="5"/>
  <c r="AZ32" i="5"/>
  <c r="BF32" i="5"/>
  <c r="BC32" i="5"/>
  <c r="BI32" i="5"/>
  <c r="BL32" i="5"/>
  <c r="BO32" i="5"/>
  <c r="BR32" i="5"/>
  <c r="BX32" i="5"/>
  <c r="BU32" i="5"/>
  <c r="CD32" i="5"/>
  <c r="CD34" i="5" s="1"/>
  <c r="CA32" i="5"/>
  <c r="CA34" i="5" s="1"/>
  <c r="AG217" i="2" l="1"/>
  <c r="AF226" i="2"/>
  <c r="S34" i="5"/>
  <c r="BO34" i="5"/>
  <c r="AT34" i="5"/>
  <c r="V34" i="5"/>
  <c r="BR34" i="5"/>
  <c r="F34" i="5"/>
  <c r="BI34" i="5"/>
  <c r="AE34" i="5"/>
  <c r="M34" i="5"/>
  <c r="AB34" i="5"/>
  <c r="BL34" i="5"/>
  <c r="C31" i="5"/>
  <c r="D31" i="5" s="1"/>
  <c r="AH34" i="5"/>
  <c r="G34" i="5"/>
  <c r="J34" i="5"/>
  <c r="AQ34" i="5"/>
  <c r="L34" i="5"/>
  <c r="P34" i="5"/>
  <c r="BX34" i="5"/>
  <c r="Y34" i="5"/>
  <c r="AN34" i="5"/>
  <c r="BC34" i="5"/>
  <c r="BF34" i="5"/>
  <c r="C34" i="5"/>
  <c r="D34" i="5"/>
  <c r="AK34" i="5"/>
  <c r="AZ34" i="5"/>
  <c r="BU34" i="5"/>
  <c r="AW34" i="5"/>
  <c r="I34" i="5"/>
  <c r="D33" i="5" l="1"/>
  <c r="AH217" i="2"/>
  <c r="AG226" i="2"/>
  <c r="C33" i="5"/>
  <c r="AI217" i="2" l="1"/>
  <c r="AH226" i="2"/>
  <c r="AJ217" i="2" l="1"/>
  <c r="AI226" i="2"/>
  <c r="AK217" i="2" l="1"/>
  <c r="AJ226" i="2"/>
  <c r="G189" i="2"/>
  <c r="G191" i="2" s="1"/>
  <c r="G193" i="2" s="1"/>
  <c r="AL217" i="2" l="1"/>
  <c r="AK226" i="2"/>
  <c r="BI186" i="2"/>
  <c r="BD186" i="2"/>
  <c r="BK186" i="2"/>
  <c r="BG186" i="2"/>
  <c r="BL186" i="2"/>
  <c r="G192" i="2"/>
  <c r="BJ186" i="2"/>
  <c r="BE186" i="2"/>
  <c r="BH186" i="2"/>
  <c r="BF186" i="2"/>
  <c r="BM186" i="2"/>
  <c r="G208" i="2"/>
  <c r="G233" i="2" s="1"/>
  <c r="G211" i="2" s="1"/>
  <c r="AM217" i="2" l="1"/>
  <c r="AL226" i="2"/>
  <c r="G232" i="2"/>
  <c r="H231" i="2"/>
  <c r="AN217" i="2" l="1"/>
  <c r="AM226" i="2"/>
  <c r="G210" i="2"/>
  <c r="H182" i="2"/>
  <c r="G212" i="2"/>
  <c r="AO217" i="2" l="1"/>
  <c r="AN226" i="2"/>
  <c r="H189" i="2"/>
  <c r="AP217" i="2" l="1"/>
  <c r="AO226" i="2"/>
  <c r="H192" i="2"/>
  <c r="H191" i="2"/>
  <c r="H193" i="2" s="1"/>
  <c r="H208" i="2" s="1"/>
  <c r="H233" i="2" s="1"/>
  <c r="AQ217" i="2" l="1"/>
  <c r="AP226" i="2"/>
  <c r="H232" i="2"/>
  <c r="I231" i="2"/>
  <c r="H211" i="2"/>
  <c r="AR217" i="2" l="1"/>
  <c r="AQ226" i="2"/>
  <c r="I182" i="2"/>
  <c r="H210" i="2"/>
  <c r="H212" i="2"/>
  <c r="AS217" i="2" l="1"/>
  <c r="AR226" i="2"/>
  <c r="I189" i="2"/>
  <c r="AT217" i="2" l="1"/>
  <c r="AS226" i="2"/>
  <c r="I191" i="2"/>
  <c r="I193" i="2" s="1"/>
  <c r="AU217" i="2" l="1"/>
  <c r="AT226" i="2"/>
  <c r="I192" i="2"/>
  <c r="I208" i="2"/>
  <c r="I233" i="2" s="1"/>
  <c r="AV217" i="2" l="1"/>
  <c r="AU226" i="2"/>
  <c r="I232" i="2"/>
  <c r="I211" i="2"/>
  <c r="J231" i="2"/>
  <c r="AW217" i="2" l="1"/>
  <c r="AV226" i="2"/>
  <c r="BD183" i="2"/>
  <c r="J182" i="2"/>
  <c r="I212" i="2"/>
  <c r="I210" i="2"/>
  <c r="AX217" i="2" l="1"/>
  <c r="AW226" i="2"/>
  <c r="J189" i="2"/>
  <c r="BD182" i="2"/>
  <c r="BD189" i="2" s="1"/>
  <c r="AY217" i="2" l="1"/>
  <c r="AX226" i="2"/>
  <c r="J191" i="2"/>
  <c r="J193" i="2" s="1"/>
  <c r="BD193" i="2" s="1"/>
  <c r="BD208" i="2" s="1"/>
  <c r="AZ217" i="2" l="1"/>
  <c r="AZ226" i="2" s="1"/>
  <c r="AY226" i="2"/>
  <c r="J208" i="2"/>
  <c r="J233" i="2" s="1"/>
  <c r="J211" i="2" s="1"/>
  <c r="J192" i="2"/>
  <c r="J232" i="2" l="1"/>
  <c r="K231" i="2"/>
  <c r="J210" i="2" l="1"/>
  <c r="J212" i="2"/>
  <c r="K182" i="2"/>
  <c r="BD211" i="2"/>
  <c r="K189" i="2" l="1"/>
  <c r="K191" i="2" l="1"/>
  <c r="K193" i="2" s="1"/>
  <c r="K208" i="2" l="1"/>
  <c r="K233" i="2" s="1"/>
  <c r="K215" i="2" s="1"/>
  <c r="K211" i="2" s="1"/>
  <c r="L183" i="2" s="1"/>
  <c r="K192" i="2"/>
  <c r="K218" i="2" l="1"/>
  <c r="L231" i="2"/>
  <c r="K232" i="2"/>
  <c r="M228" i="2" l="1"/>
  <c r="M250" i="2" l="1"/>
  <c r="M262" i="2"/>
  <c r="M238" i="2"/>
  <c r="K32" i="5" l="1"/>
  <c r="O32" i="5"/>
  <c r="M264" i="2"/>
  <c r="BE226" i="2"/>
  <c r="M252" i="2"/>
  <c r="M240" i="2"/>
  <c r="O34" i="5" l="1"/>
  <c r="K34" i="5"/>
  <c r="N238" i="2"/>
  <c r="N228" i="2"/>
  <c r="N250" i="2"/>
  <c r="N262" i="2"/>
  <c r="N32" i="5" l="1"/>
  <c r="R32" i="5"/>
  <c r="R34" i="5" s="1"/>
  <c r="N252" i="2"/>
  <c r="N264" i="2"/>
  <c r="O228" i="2"/>
  <c r="O238" i="2"/>
  <c r="U32" i="5" s="1"/>
  <c r="U34" i="5" s="1"/>
  <c r="O250" i="2"/>
  <c r="O252" i="2" s="1"/>
  <c r="O262" i="2"/>
  <c r="O264" i="2" s="1"/>
  <c r="N240" i="2"/>
  <c r="N34" i="5" l="1"/>
  <c r="C40" i="5"/>
  <c r="Q32" i="5"/>
  <c r="O240" i="2"/>
  <c r="Q34" i="5" l="1"/>
  <c r="P250" i="2"/>
  <c r="P228" i="2"/>
  <c r="P262" i="2"/>
  <c r="P238" i="2"/>
  <c r="T32" i="5" l="1"/>
  <c r="X32" i="5"/>
  <c r="X34" i="5" s="1"/>
  <c r="P240" i="2"/>
  <c r="P264" i="2"/>
  <c r="P252" i="2"/>
  <c r="T34" i="5" l="1"/>
  <c r="Q262" i="2"/>
  <c r="Q250" i="2"/>
  <c r="Q238" i="2"/>
  <c r="Q228" i="2"/>
  <c r="W32" i="5" l="1"/>
  <c r="W34" i="5" s="1"/>
  <c r="AA32" i="5"/>
  <c r="Q252" i="2"/>
  <c r="BF226" i="2"/>
  <c r="Q264" i="2"/>
  <c r="Q240" i="2"/>
  <c r="AA34" i="5" l="1"/>
  <c r="R238" i="2"/>
  <c r="R262" i="2"/>
  <c r="R264" i="2" s="1"/>
  <c r="R250" i="2"/>
  <c r="R228" i="2"/>
  <c r="Z32" i="5" l="1"/>
  <c r="Z34" i="5" s="1"/>
  <c r="AD32" i="5"/>
  <c r="AD34" i="5" s="1"/>
  <c r="R240" i="2"/>
  <c r="R252" i="2"/>
  <c r="D40" i="5" l="1"/>
  <c r="S238" i="2"/>
  <c r="S262" i="2"/>
  <c r="S264" i="2" s="1"/>
  <c r="S250" i="2"/>
  <c r="S252" i="2" s="1"/>
  <c r="S228" i="2"/>
  <c r="T262" i="2"/>
  <c r="T264" i="2" s="1"/>
  <c r="T238" i="2"/>
  <c r="AJ32" i="5" s="1"/>
  <c r="AJ34" i="5" s="1"/>
  <c r="T250" i="2"/>
  <c r="T252" i="2" s="1"/>
  <c r="T228" i="2"/>
  <c r="AC32" i="5" l="1"/>
  <c r="AG32" i="5"/>
  <c r="AG34" i="5" s="1"/>
  <c r="AF32" i="5"/>
  <c r="S240" i="2"/>
  <c r="T240" i="2"/>
  <c r="AC34" i="5" l="1"/>
  <c r="AF34" i="5"/>
  <c r="U262" i="2" l="1"/>
  <c r="U264" i="2" s="1"/>
  <c r="U238" i="2"/>
  <c r="U228" i="2"/>
  <c r="U250" i="2"/>
  <c r="U252" i="2" s="1"/>
  <c r="AI32" i="5" l="1"/>
  <c r="AI34" i="5" s="1"/>
  <c r="AM32" i="5"/>
  <c r="U240" i="2"/>
  <c r="BG226" i="2"/>
  <c r="AM34" i="5" l="1"/>
  <c r="V262" i="2"/>
  <c r="V264" i="2" s="1"/>
  <c r="V238" i="2"/>
  <c r="V250" i="2"/>
  <c r="V252" i="2" s="1"/>
  <c r="V228" i="2"/>
  <c r="AL32" i="5" l="1"/>
  <c r="AL34" i="5" s="1"/>
  <c r="AP32" i="5"/>
  <c r="AP34" i="5" s="1"/>
  <c r="V240" i="2"/>
  <c r="E40" i="5" l="1"/>
  <c r="W238" i="2"/>
  <c r="W228" i="2"/>
  <c r="W250" i="2"/>
  <c r="W252" i="2" s="1"/>
  <c r="W262" i="2"/>
  <c r="W264" i="2" s="1"/>
  <c r="AO32" i="5" l="1"/>
  <c r="AS32" i="5"/>
  <c r="AS34" i="5" s="1"/>
  <c r="W240" i="2"/>
  <c r="AO34" i="5" l="1"/>
  <c r="X238" i="2"/>
  <c r="X228" i="2"/>
  <c r="X262" i="2"/>
  <c r="X264" i="2" s="1"/>
  <c r="X250" i="2"/>
  <c r="X252" i="2" s="1"/>
  <c r="AR32" i="5" l="1"/>
  <c r="AV32" i="5"/>
  <c r="AV34" i="5" s="1"/>
  <c r="X240" i="2"/>
  <c r="AR34" i="5" l="1"/>
  <c r="Y238" i="2"/>
  <c r="Y262" i="2"/>
  <c r="Y264" i="2" s="1"/>
  <c r="Y228" i="2"/>
  <c r="Y250" i="2"/>
  <c r="Y252" i="2" s="1"/>
  <c r="AU32" i="5" l="1"/>
  <c r="AY32" i="5"/>
  <c r="BH226" i="2"/>
  <c r="Y240" i="2"/>
  <c r="AY34" i="5" l="1"/>
  <c r="AU34" i="5"/>
  <c r="Z228" i="2"/>
  <c r="Z262" i="2"/>
  <c r="Z264" i="2" s="1"/>
  <c r="Z238" i="2"/>
  <c r="Z250" i="2"/>
  <c r="Z252" i="2" s="1"/>
  <c r="AX32" i="5" l="1"/>
  <c r="AX34" i="5" s="1"/>
  <c r="BB32" i="5"/>
  <c r="BB34" i="5" s="1"/>
  <c r="AA250" i="2"/>
  <c r="AA252" i="2" s="1"/>
  <c r="AA238" i="2"/>
  <c r="BE32" i="5" s="1"/>
  <c r="BE34" i="5" s="1"/>
  <c r="AA228" i="2"/>
  <c r="AA262" i="2"/>
  <c r="AA264" i="2" s="1"/>
  <c r="Z240" i="2"/>
  <c r="F40" i="5" l="1"/>
  <c r="BA32" i="5"/>
  <c r="AA240" i="2"/>
  <c r="BA34" i="5" l="1"/>
  <c r="AB238" i="2"/>
  <c r="AB228" i="2"/>
  <c r="AB250" i="2"/>
  <c r="AB252" i="2" s="1"/>
  <c r="AB262" i="2"/>
  <c r="AB264" i="2" s="1"/>
  <c r="BD32" i="5" l="1"/>
  <c r="BH32" i="5"/>
  <c r="BH34" i="5" s="1"/>
  <c r="AB240" i="2"/>
  <c r="BD34" i="5" l="1"/>
  <c r="BI226" i="2"/>
  <c r="AC250" i="2"/>
  <c r="AC252" i="2" s="1"/>
  <c r="AC228" i="2"/>
  <c r="AC238" i="2"/>
  <c r="AC262" i="2"/>
  <c r="AC264" i="2" s="1"/>
  <c r="AD228" i="2"/>
  <c r="AD262" i="2"/>
  <c r="AD264" i="2" s="1"/>
  <c r="AD250" i="2"/>
  <c r="AD252" i="2" s="1"/>
  <c r="AD238" i="2"/>
  <c r="BN32" i="5" s="1"/>
  <c r="BN34" i="5" s="1"/>
  <c r="BG32" i="5" l="1"/>
  <c r="BK32" i="5"/>
  <c r="BJ32" i="5"/>
  <c r="AD240" i="2"/>
  <c r="AC240" i="2"/>
  <c r="BK34" i="5" l="1"/>
  <c r="BG34" i="5"/>
  <c r="BJ34" i="5"/>
  <c r="G40" i="5"/>
  <c r="AE238" i="2" l="1"/>
  <c r="AE250" i="2"/>
  <c r="AE252" i="2" s="1"/>
  <c r="AE262" i="2"/>
  <c r="AE264" i="2" s="1"/>
  <c r="AE228" i="2"/>
  <c r="BM32" i="5" l="1"/>
  <c r="BQ32" i="5"/>
  <c r="BQ34" i="5" s="1"/>
  <c r="AE240" i="2"/>
  <c r="BM34" i="5" l="1"/>
  <c r="AF228" i="2"/>
  <c r="AF238" i="2"/>
  <c r="AF250" i="2"/>
  <c r="AF252" i="2" s="1"/>
  <c r="AF262" i="2"/>
  <c r="AF264" i="2" s="1"/>
  <c r="BP32" i="5" l="1"/>
  <c r="BT32" i="5"/>
  <c r="BT34" i="5" s="1"/>
  <c r="AF240" i="2"/>
  <c r="BP34" i="5" l="1"/>
  <c r="AG228" i="2"/>
  <c r="AG262" i="2"/>
  <c r="AG264" i="2" s="1"/>
  <c r="AG250" i="2"/>
  <c r="AG252" i="2" s="1"/>
  <c r="AG238" i="2"/>
  <c r="BS32" i="5" l="1"/>
  <c r="BW32" i="5"/>
  <c r="BJ226" i="2"/>
  <c r="AG240" i="2"/>
  <c r="BW34" i="5" l="1"/>
  <c r="BS34" i="5"/>
  <c r="AH228" i="2"/>
  <c r="AH238" i="2"/>
  <c r="AH250" i="2"/>
  <c r="AH252" i="2" s="1"/>
  <c r="AH262" i="2"/>
  <c r="AH264" i="2" s="1"/>
  <c r="BV32" i="5" l="1"/>
  <c r="BV34" i="5" s="1"/>
  <c r="BZ32" i="5"/>
  <c r="BZ34" i="5" s="1"/>
  <c r="AH240" i="2"/>
  <c r="H40" i="5" l="1"/>
  <c r="AI238" i="2"/>
  <c r="AI228" i="2"/>
  <c r="AI262" i="2"/>
  <c r="AI264" i="2" s="1"/>
  <c r="AI250" i="2"/>
  <c r="AI252" i="2" s="1"/>
  <c r="BY32" i="5" l="1"/>
  <c r="CC32" i="5"/>
  <c r="CC34" i="5" s="1"/>
  <c r="AI240" i="2"/>
  <c r="BY34" i="5" l="1"/>
  <c r="AJ238" i="2"/>
  <c r="AJ262" i="2"/>
  <c r="AJ264" i="2" s="1"/>
  <c r="AJ228" i="2"/>
  <c r="AJ250" i="2"/>
  <c r="AJ252" i="2" s="1"/>
  <c r="CB32" i="5" l="1"/>
  <c r="CF32" i="5"/>
  <c r="CF34" i="5" s="1"/>
  <c r="AJ240" i="2"/>
  <c r="CB34" i="5" l="1"/>
  <c r="AK262" i="2"/>
  <c r="AK264" i="2" s="1"/>
  <c r="AK250" i="2"/>
  <c r="AK252" i="2" s="1"/>
  <c r="AK228" i="2"/>
  <c r="AK238" i="2"/>
  <c r="CE32" i="5" l="1"/>
  <c r="CI32" i="5"/>
  <c r="BK226" i="2"/>
  <c r="AK240" i="2"/>
  <c r="CI34" i="5" l="1"/>
  <c r="CE34" i="5"/>
  <c r="AL262" i="2"/>
  <c r="AL264" i="2" s="1"/>
  <c r="AL228" i="2"/>
  <c r="AL250" i="2"/>
  <c r="AL252" i="2" s="1"/>
  <c r="AL238" i="2"/>
  <c r="CH32" i="5" l="1"/>
  <c r="CH34" i="5" s="1"/>
  <c r="CL32" i="5"/>
  <c r="CL34" i="5" s="1"/>
  <c r="AL240" i="2"/>
  <c r="I40" i="5" l="1"/>
  <c r="AM228" i="2"/>
  <c r="AM262" i="2"/>
  <c r="AM264" i="2" s="1"/>
  <c r="AM238" i="2"/>
  <c r="AM250" i="2"/>
  <c r="AM252" i="2" s="1"/>
  <c r="CK32" i="5" l="1"/>
  <c r="CO32" i="5"/>
  <c r="CO34" i="5" s="1"/>
  <c r="AM240" i="2"/>
  <c r="CK34" i="5" l="1"/>
  <c r="AN250" i="2"/>
  <c r="AN252" i="2" s="1"/>
  <c r="AN238" i="2"/>
  <c r="AN262" i="2"/>
  <c r="AN264" i="2" s="1"/>
  <c r="AN228" i="2"/>
  <c r="CN32" i="5" l="1"/>
  <c r="CR32" i="5"/>
  <c r="CR34" i="5" s="1"/>
  <c r="AN240" i="2"/>
  <c r="CN34" i="5" l="1"/>
  <c r="AO228" i="2"/>
  <c r="AO238" i="2"/>
  <c r="AO250" i="2"/>
  <c r="AO252" i="2" s="1"/>
  <c r="AO262" i="2"/>
  <c r="AO264" i="2" s="1"/>
  <c r="CQ32" i="5" l="1"/>
  <c r="CU32" i="5"/>
  <c r="BL226" i="2"/>
  <c r="AO240" i="2"/>
  <c r="CU34" i="5" l="1"/>
  <c r="CQ34" i="5"/>
  <c r="AP238" i="2"/>
  <c r="AP262" i="2"/>
  <c r="AP264" i="2" s="1"/>
  <c r="AP250" i="2"/>
  <c r="AP252" i="2" s="1"/>
  <c r="AP228" i="2"/>
  <c r="CT32" i="5" l="1"/>
  <c r="CT34" i="5" s="1"/>
  <c r="CX32" i="5"/>
  <c r="CX34" i="5" s="1"/>
  <c r="AP240" i="2"/>
  <c r="J40" i="5" l="1"/>
  <c r="AQ228" i="2"/>
  <c r="AQ250" i="2"/>
  <c r="AQ252" i="2" s="1"/>
  <c r="AQ238" i="2"/>
  <c r="AQ262" i="2"/>
  <c r="AQ264" i="2" s="1"/>
  <c r="CW32" i="5" l="1"/>
  <c r="DA32" i="5"/>
  <c r="DA34" i="5" s="1"/>
  <c r="AQ240" i="2"/>
  <c r="CW34" i="5" l="1"/>
  <c r="AR262" i="2"/>
  <c r="AR264" i="2" s="1"/>
  <c r="AR228" i="2"/>
  <c r="AR238" i="2"/>
  <c r="AR250" i="2"/>
  <c r="AR252" i="2" s="1"/>
  <c r="CZ32" i="5" l="1"/>
  <c r="DD32" i="5"/>
  <c r="DD34" i="5" s="1"/>
  <c r="AR240" i="2"/>
  <c r="CZ34" i="5" l="1"/>
  <c r="AS238" i="2"/>
  <c r="AS228" i="2"/>
  <c r="AS262" i="2"/>
  <c r="AS264" i="2" s="1"/>
  <c r="AS250" i="2"/>
  <c r="AS252" i="2" s="1"/>
  <c r="DC32" i="5" l="1"/>
  <c r="DG32" i="5"/>
  <c r="BM226" i="2"/>
  <c r="AS240" i="2"/>
  <c r="DG34" i="5" l="1"/>
  <c r="DC34" i="5"/>
  <c r="AT238" i="2"/>
  <c r="DJ32" i="5" s="1"/>
  <c r="DJ34" i="5" s="1"/>
  <c r="AT228" i="2"/>
  <c r="AT262" i="2"/>
  <c r="AT264" i="2" s="1"/>
  <c r="AT250" i="2"/>
  <c r="AT252" i="2" s="1"/>
  <c r="DF32" i="5" l="1"/>
  <c r="C243" i="2"/>
  <c r="F1" i="2" s="1"/>
  <c r="AU238" i="2"/>
  <c r="DM32" i="5" s="1"/>
  <c r="DM34" i="5" s="1"/>
  <c r="AU250" i="2"/>
  <c r="C255" i="2" s="1"/>
  <c r="AU262" i="2"/>
  <c r="AU264" i="2" s="1"/>
  <c r="AU228" i="2"/>
  <c r="DF34" i="5" l="1"/>
  <c r="K40" i="5"/>
  <c r="DI32" i="5"/>
  <c r="AV262" i="2"/>
  <c r="C267" i="2" s="1"/>
  <c r="AV228" i="2"/>
  <c r="AV238" i="2"/>
  <c r="DP32" i="5" s="1"/>
  <c r="DP34" i="5" s="1"/>
  <c r="DI34" i="5" l="1"/>
  <c r="DL32" i="5"/>
  <c r="DL34" i="5" s="1"/>
  <c r="AW228" i="2"/>
  <c r="AW238" i="2"/>
  <c r="DO32" i="5" l="1"/>
  <c r="AX238" i="2"/>
  <c r="DR32" i="5" s="1"/>
  <c r="AX228" i="2"/>
  <c r="DO34" i="5" l="1"/>
  <c r="DR34" i="5"/>
  <c r="K17" i="5"/>
  <c r="L40" i="5"/>
  <c r="AY238" i="2"/>
  <c r="AY228" i="2"/>
  <c r="K19" i="5" l="1"/>
  <c r="AZ238" i="2"/>
  <c r="AZ228" i="2"/>
  <c r="BD212" i="2"/>
  <c r="K212" i="2"/>
  <c r="L182" i="2"/>
  <c r="L189" i="2" l="1"/>
  <c r="L191" i="2" l="1"/>
  <c r="L193" i="2" s="1"/>
  <c r="L192" i="2" l="1"/>
  <c r="L208" i="2"/>
  <c r="L233" i="2" s="1"/>
  <c r="L215" i="2" s="1"/>
  <c r="L218" i="2" l="1"/>
  <c r="L211" i="2"/>
  <c r="L232" i="2"/>
  <c r="M231" i="2"/>
  <c r="M182" i="2" l="1"/>
  <c r="M183" i="2"/>
  <c r="L212" i="2"/>
  <c r="M189" i="2" l="1"/>
  <c r="M191" i="2" l="1"/>
  <c r="M193" i="2" s="1"/>
  <c r="M208" i="2" s="1"/>
  <c r="M233" i="2" s="1"/>
  <c r="M192" i="2" l="1"/>
  <c r="M232" i="2"/>
  <c r="N231" i="2"/>
  <c r="M215" i="2"/>
  <c r="M218" i="2" l="1"/>
  <c r="M211" i="2"/>
  <c r="N182" i="2" l="1"/>
  <c r="N183" i="2"/>
  <c r="BE183" i="2" s="1"/>
  <c r="M212" i="2"/>
  <c r="N189" i="2" l="1"/>
  <c r="BE182" i="2"/>
  <c r="BE189" i="2" s="1"/>
  <c r="N191" i="2" l="1"/>
  <c r="N193" i="2" s="1"/>
  <c r="N208" i="2" l="1"/>
  <c r="N233" i="2" s="1"/>
  <c r="BE193" i="2"/>
  <c r="BE208" i="2" s="1"/>
  <c r="N192" i="2"/>
  <c r="N215" i="2" l="1"/>
  <c r="O231" i="2"/>
  <c r="N232" i="2"/>
  <c r="N218" i="2" l="1"/>
  <c r="N211" i="2"/>
  <c r="O183" i="2" l="1"/>
  <c r="N212" i="2"/>
  <c r="O182" i="2"/>
  <c r="BE211" i="2"/>
  <c r="BE212" i="2" s="1"/>
  <c r="O189" i="2" l="1"/>
  <c r="O191" i="2" l="1"/>
  <c r="O193" i="2" s="1"/>
  <c r="O208" i="2" l="1"/>
  <c r="O233" i="2" s="1"/>
  <c r="O192" i="2"/>
  <c r="O215" i="2" l="1"/>
  <c r="O232" i="2"/>
  <c r="P231" i="2"/>
  <c r="O218" i="2" l="1"/>
  <c r="O211" i="2"/>
  <c r="P183" i="2" l="1"/>
  <c r="O212" i="2"/>
  <c r="P182" i="2"/>
  <c r="P189" i="2" l="1"/>
  <c r="P191" i="2" l="1"/>
  <c r="P193" i="2" s="1"/>
  <c r="P208" i="2" l="1"/>
  <c r="P233" i="2" s="1"/>
  <c r="P192" i="2"/>
  <c r="P215" i="2" l="1"/>
  <c r="P232" i="2"/>
  <c r="Q231" i="2"/>
  <c r="P218" i="2" l="1"/>
  <c r="P211" i="2"/>
  <c r="Q182" i="2" l="1"/>
  <c r="P212" i="2"/>
  <c r="Q183" i="2"/>
  <c r="Q189" i="2" l="1"/>
  <c r="Q191" i="2" l="1"/>
  <c r="Q193" i="2" s="1"/>
  <c r="Q208" i="2" l="1"/>
  <c r="Q233" i="2" s="1"/>
  <c r="Q192" i="2"/>
  <c r="Q215" i="2" l="1"/>
  <c r="R231" i="2"/>
  <c r="Q232" i="2"/>
  <c r="Q218" i="2" l="1"/>
  <c r="Q211" i="2"/>
  <c r="R182" i="2" l="1"/>
  <c r="R183" i="2"/>
  <c r="Q212" i="2"/>
  <c r="R189" i="2" l="1"/>
  <c r="BF182" i="2"/>
  <c r="R191" i="2" l="1"/>
  <c r="R193" i="2" s="1"/>
  <c r="R208" i="2" s="1"/>
  <c r="R233" i="2" s="1"/>
  <c r="R192" i="2" l="1"/>
  <c r="R215" i="2"/>
  <c r="R232" i="2"/>
  <c r="S231" i="2"/>
  <c r="R218" i="2" l="1"/>
  <c r="R211" i="2"/>
  <c r="S182" i="2" l="1"/>
  <c r="R212" i="2"/>
  <c r="S183" i="2"/>
  <c r="BF211" i="2"/>
  <c r="BF212" i="2" s="1"/>
  <c r="S189" i="2" l="1"/>
  <c r="S191" i="2" l="1"/>
  <c r="S193" i="2" s="1"/>
  <c r="S208" i="2" l="1"/>
  <c r="S233" i="2" s="1"/>
  <c r="S192" i="2"/>
  <c r="S215" i="2" l="1"/>
  <c r="S232" i="2"/>
  <c r="T231" i="2"/>
  <c r="S218" i="2" l="1"/>
  <c r="S211" i="2"/>
  <c r="T182" i="2" l="1"/>
  <c r="T183" i="2"/>
  <c r="S212" i="2"/>
  <c r="T189" i="2" l="1"/>
  <c r="N224" i="2"/>
  <c r="BF215" i="2"/>
  <c r="L237" i="2"/>
  <c r="M224" i="2"/>
  <c r="O237" i="2"/>
  <c r="T191" i="2" l="1"/>
  <c r="T193" i="2" s="1"/>
  <c r="Q224" i="2"/>
  <c r="Q237" i="2"/>
  <c r="R224" i="2"/>
  <c r="N237" i="2"/>
  <c r="M237" i="2"/>
  <c r="S224" i="2"/>
  <c r="R237" i="2"/>
  <c r="P224" i="2"/>
  <c r="L224" i="2"/>
  <c r="BF218" i="2"/>
  <c r="S237" i="2"/>
  <c r="P237" i="2"/>
  <c r="T208" i="2" l="1"/>
  <c r="T233" i="2" s="1"/>
  <c r="T192" i="2"/>
  <c r="T215" i="2" l="1"/>
  <c r="T232" i="2"/>
  <c r="U231" i="2"/>
  <c r="BE215" i="2"/>
  <c r="BE218" i="2"/>
  <c r="BF216" i="2" s="1"/>
  <c r="O224" i="2"/>
  <c r="K237" i="2"/>
  <c r="E31" i="5" l="1"/>
  <c r="T218" i="2"/>
  <c r="T211" i="2"/>
  <c r="BE216" i="2"/>
  <c r="K224" i="2"/>
  <c r="E33" i="5" l="1"/>
  <c r="F31" i="5"/>
  <c r="U182" i="2"/>
  <c r="T212" i="2"/>
  <c r="U183" i="2"/>
  <c r="T237" i="2"/>
  <c r="T224" i="2"/>
  <c r="G31" i="5" l="1"/>
  <c r="F33" i="5"/>
  <c r="U189" i="2"/>
  <c r="G33" i="5" l="1"/>
  <c r="H31" i="5"/>
  <c r="U191" i="2"/>
  <c r="U193" i="2" s="1"/>
  <c r="H33" i="5" l="1"/>
  <c r="I31" i="5"/>
  <c r="U208" i="2"/>
  <c r="U233" i="2" s="1"/>
  <c r="U192" i="2"/>
  <c r="J31" i="5" l="1"/>
  <c r="I33" i="5"/>
  <c r="U215" i="2"/>
  <c r="V231" i="2"/>
  <c r="U232" i="2"/>
  <c r="J33" i="5" l="1"/>
  <c r="K31" i="5"/>
  <c r="U218" i="2"/>
  <c r="U211" i="2"/>
  <c r="K33" i="5" l="1"/>
  <c r="L31" i="5"/>
  <c r="U212" i="2"/>
  <c r="V182" i="2"/>
  <c r="V183" i="2"/>
  <c r="U237" i="2"/>
  <c r="U224" i="2"/>
  <c r="M31" i="5" l="1"/>
  <c r="L33" i="5"/>
  <c r="V189" i="2"/>
  <c r="BG182" i="2"/>
  <c r="M33" i="5" l="1"/>
  <c r="N31" i="5"/>
  <c r="O31" i="5" s="1"/>
  <c r="V191" i="2"/>
  <c r="V193" i="2" s="1"/>
  <c r="V208" i="2" s="1"/>
  <c r="V233" i="2" s="1"/>
  <c r="O33" i="5" l="1"/>
  <c r="P31" i="5"/>
  <c r="N33" i="5"/>
  <c r="C39" i="5"/>
  <c r="V215" i="2"/>
  <c r="V232" i="2"/>
  <c r="W231" i="2"/>
  <c r="V192" i="2"/>
  <c r="P33" i="5" l="1"/>
  <c r="Q31" i="5"/>
  <c r="V218" i="2"/>
  <c r="V211" i="2"/>
  <c r="BG215" i="2"/>
  <c r="Q33" i="5" l="1"/>
  <c r="R31" i="5"/>
  <c r="V212" i="2"/>
  <c r="W182" i="2"/>
  <c r="W183" i="2"/>
  <c r="BG211" i="2"/>
  <c r="BG212" i="2" s="1"/>
  <c r="V237" i="2"/>
  <c r="V224" i="2"/>
  <c r="BG218" i="2"/>
  <c r="BG216" i="2" s="1"/>
  <c r="R33" i="5" l="1"/>
  <c r="S31" i="5"/>
  <c r="W189" i="2"/>
  <c r="S33" i="5" l="1"/>
  <c r="T31" i="5"/>
  <c r="W191" i="2"/>
  <c r="W193" i="2" s="1"/>
  <c r="W208" i="2" s="1"/>
  <c r="W233" i="2" s="1"/>
  <c r="T33" i="5" l="1"/>
  <c r="U31" i="5"/>
  <c r="W215" i="2"/>
  <c r="W232" i="2"/>
  <c r="X231" i="2"/>
  <c r="W192" i="2"/>
  <c r="U33" i="5" l="1"/>
  <c r="V31" i="5"/>
  <c r="W218" i="2"/>
  <c r="W211" i="2"/>
  <c r="V33" i="5" l="1"/>
  <c r="W31" i="5"/>
  <c r="X183" i="2"/>
  <c r="X182" i="2"/>
  <c r="W212" i="2"/>
  <c r="W237" i="2"/>
  <c r="W224" i="2"/>
  <c r="W33" i="5" l="1"/>
  <c r="X31" i="5"/>
  <c r="X189" i="2"/>
  <c r="Y31" i="5" l="1"/>
  <c r="X33" i="5"/>
  <c r="X191" i="2"/>
  <c r="X193" i="2" s="1"/>
  <c r="Z31" i="5" l="1"/>
  <c r="Y33" i="5"/>
  <c r="X192" i="2"/>
  <c r="X208" i="2"/>
  <c r="X233" i="2" s="1"/>
  <c r="AA31" i="5" l="1"/>
  <c r="Z33" i="5"/>
  <c r="D39" i="5"/>
  <c r="X215" i="2"/>
  <c r="X232" i="2"/>
  <c r="Y231" i="2"/>
  <c r="AA33" i="5" l="1"/>
  <c r="AB31" i="5"/>
  <c r="X218" i="2"/>
  <c r="X211" i="2"/>
  <c r="AB33" i="5" l="1"/>
  <c r="AC31" i="5"/>
  <c r="Y183" i="2"/>
  <c r="X212" i="2"/>
  <c r="Y182" i="2"/>
  <c r="X224" i="2"/>
  <c r="X237" i="2"/>
  <c r="AC33" i="5" l="1"/>
  <c r="AD31" i="5"/>
  <c r="Y189" i="2"/>
  <c r="AD33" i="5" l="1"/>
  <c r="AE31" i="5"/>
  <c r="Y191" i="2"/>
  <c r="Y193" i="2" s="1"/>
  <c r="AF31" i="5" l="1"/>
  <c r="AE33" i="5"/>
  <c r="Y208" i="2"/>
  <c r="Y233" i="2" s="1"/>
  <c r="Y192" i="2"/>
  <c r="AG31" i="5" l="1"/>
  <c r="AF33" i="5"/>
  <c r="Y215" i="2"/>
  <c r="Y232" i="2"/>
  <c r="Z231" i="2"/>
  <c r="AH31" i="5" l="1"/>
  <c r="AG33" i="5"/>
  <c r="Y218" i="2"/>
  <c r="Y211" i="2"/>
  <c r="AH33" i="5" l="1"/>
  <c r="AI31" i="5"/>
  <c r="Z182" i="2"/>
  <c r="Y212" i="2"/>
  <c r="Z183" i="2"/>
  <c r="Y237" i="2"/>
  <c r="Y224" i="2"/>
  <c r="AJ31" i="5" l="1"/>
  <c r="AI33" i="5"/>
  <c r="Z189" i="2"/>
  <c r="BH182" i="2"/>
  <c r="AJ33" i="5" l="1"/>
  <c r="AK31" i="5"/>
  <c r="Z191" i="2"/>
  <c r="Z193" i="2" s="1"/>
  <c r="Z208" i="2" s="1"/>
  <c r="Z233" i="2" s="1"/>
  <c r="AK33" i="5" l="1"/>
  <c r="AL31" i="5"/>
  <c r="Z215" i="2"/>
  <c r="Z232" i="2"/>
  <c r="AA231" i="2"/>
  <c r="Z192" i="2"/>
  <c r="AM31" i="5" l="1"/>
  <c r="AL33" i="5"/>
  <c r="E39" i="5"/>
  <c r="Z218" i="2"/>
  <c r="Z211" i="2"/>
  <c r="BH215" i="2"/>
  <c r="AN31" i="5" l="1"/>
  <c r="AM33" i="5"/>
  <c r="Z212" i="2"/>
  <c r="AA182" i="2"/>
  <c r="AA183" i="2"/>
  <c r="BH211" i="2"/>
  <c r="BH212" i="2" s="1"/>
  <c r="Z237" i="2"/>
  <c r="Z224" i="2"/>
  <c r="BH218" i="2"/>
  <c r="BH216" i="2" s="1"/>
  <c r="AN33" i="5" l="1"/>
  <c r="AO31" i="5"/>
  <c r="AA189" i="2"/>
  <c r="AO33" i="5" l="1"/>
  <c r="AP31" i="5"/>
  <c r="AA191" i="2"/>
  <c r="AA193" i="2" s="1"/>
  <c r="AP33" i="5" l="1"/>
  <c r="AQ31" i="5"/>
  <c r="AA208" i="2"/>
  <c r="AA233" i="2" s="1"/>
  <c r="AA192" i="2"/>
  <c r="AR31" i="5" l="1"/>
  <c r="AQ33" i="5"/>
  <c r="AA215" i="2"/>
  <c r="AB231" i="2"/>
  <c r="AA232" i="2"/>
  <c r="AR33" i="5" l="1"/>
  <c r="AS31" i="5"/>
  <c r="AA218" i="2"/>
  <c r="AA211" i="2"/>
  <c r="AS33" i="5" l="1"/>
  <c r="AT31" i="5"/>
  <c r="AB183" i="2"/>
  <c r="AB182" i="2"/>
  <c r="AA212" i="2"/>
  <c r="AA224" i="2"/>
  <c r="AA237" i="2"/>
  <c r="AT33" i="5" l="1"/>
  <c r="AU31" i="5"/>
  <c r="AB189" i="2"/>
  <c r="AV31" i="5" l="1"/>
  <c r="AU33" i="5"/>
  <c r="AB191" i="2"/>
  <c r="AB193" i="2" s="1"/>
  <c r="AV33" i="5" l="1"/>
  <c r="AW31" i="5"/>
  <c r="AB192" i="2"/>
  <c r="AB208" i="2"/>
  <c r="AB233" i="2" s="1"/>
  <c r="AW33" i="5" l="1"/>
  <c r="AX31" i="5"/>
  <c r="AB215" i="2"/>
  <c r="AB232" i="2"/>
  <c r="AC231" i="2"/>
  <c r="AX33" i="5" l="1"/>
  <c r="AY31" i="5"/>
  <c r="F39" i="5"/>
  <c r="AB218" i="2"/>
  <c r="AB211" i="2"/>
  <c r="AZ31" i="5" l="1"/>
  <c r="AY33" i="5"/>
  <c r="AC183" i="2"/>
  <c r="AB212" i="2"/>
  <c r="AC182" i="2"/>
  <c r="AB237" i="2"/>
  <c r="AB224" i="2"/>
  <c r="AZ33" i="5" l="1"/>
  <c r="BA31" i="5"/>
  <c r="AC189" i="2"/>
  <c r="BA33" i="5" l="1"/>
  <c r="BB31" i="5"/>
  <c r="AC191" i="2"/>
  <c r="AC193" i="2" s="1"/>
  <c r="BC31" i="5" l="1"/>
  <c r="BB33" i="5"/>
  <c r="AC208" i="2"/>
  <c r="AC233" i="2" s="1"/>
  <c r="AC192" i="2"/>
  <c r="BC33" i="5" l="1"/>
  <c r="BD31" i="5"/>
  <c r="AC215" i="2"/>
  <c r="AC232" i="2"/>
  <c r="AD231" i="2"/>
  <c r="BE31" i="5" l="1"/>
  <c r="BD33" i="5"/>
  <c r="AC218" i="2"/>
  <c r="AC211" i="2"/>
  <c r="BE33" i="5" l="1"/>
  <c r="BF31" i="5"/>
  <c r="BF33" i="5" s="1"/>
  <c r="AD183" i="2"/>
  <c r="AC212" i="2"/>
  <c r="AD182" i="2"/>
  <c r="AC224" i="2"/>
  <c r="AC237" i="2"/>
  <c r="BG31" i="5" l="1"/>
  <c r="AD189" i="2"/>
  <c r="BI182" i="2"/>
  <c r="BH31" i="5" l="1"/>
  <c r="BG33" i="5"/>
  <c r="AD191" i="2"/>
  <c r="AD193" i="2" s="1"/>
  <c r="AD208" i="2" s="1"/>
  <c r="AD233" i="2" s="1"/>
  <c r="BH33" i="5" l="1"/>
  <c r="BI31" i="5"/>
  <c r="BI33" i="5" s="1"/>
  <c r="AD215" i="2"/>
  <c r="AD232" i="2"/>
  <c r="AE231" i="2"/>
  <c r="AD192" i="2"/>
  <c r="AD218" i="2" l="1"/>
  <c r="AD211" i="2"/>
  <c r="BI215" i="2"/>
  <c r="AE182" i="2" l="1"/>
  <c r="AD212" i="2"/>
  <c r="AE183" i="2"/>
  <c r="BI211" i="2"/>
  <c r="BI212" i="2" s="1"/>
  <c r="AD237" i="2"/>
  <c r="AD224" i="2"/>
  <c r="BI218" i="2"/>
  <c r="BI216" i="2" s="1"/>
  <c r="BJ31" i="5" l="1"/>
  <c r="AE189" i="2"/>
  <c r="BK31" i="5" l="1"/>
  <c r="BJ33" i="5"/>
  <c r="G39" i="5"/>
  <c r="AE191" i="2"/>
  <c r="AE193" i="2" s="1"/>
  <c r="BK33" i="5" l="1"/>
  <c r="BL31" i="5"/>
  <c r="BL33" i="5" s="1"/>
  <c r="AE208" i="2"/>
  <c r="AE233" i="2" s="1"/>
  <c r="AE192" i="2"/>
  <c r="AE215" i="2" l="1"/>
  <c r="AF231" i="2"/>
  <c r="AE232" i="2"/>
  <c r="AE218" i="2" l="1"/>
  <c r="AE211" i="2"/>
  <c r="AF183" i="2" l="1"/>
  <c r="AF182" i="2"/>
  <c r="AE212" i="2"/>
  <c r="AE237" i="2"/>
  <c r="AE224" i="2"/>
  <c r="BM31" i="5" l="1"/>
  <c r="AF189" i="2"/>
  <c r="BM33" i="5" l="1"/>
  <c r="BN31" i="5"/>
  <c r="AF191" i="2"/>
  <c r="AF193" i="2" s="1"/>
  <c r="BN33" i="5" l="1"/>
  <c r="BO31" i="5"/>
  <c r="BO33" i="5" s="1"/>
  <c r="AF192" i="2"/>
  <c r="AF208" i="2"/>
  <c r="AF233" i="2" s="1"/>
  <c r="AF215" i="2" l="1"/>
  <c r="AF232" i="2"/>
  <c r="AG231" i="2"/>
  <c r="AF218" i="2" l="1"/>
  <c r="AF211" i="2"/>
  <c r="AG182" i="2" l="1"/>
  <c r="AG183" i="2"/>
  <c r="AF212" i="2"/>
  <c r="AF237" i="2"/>
  <c r="AF224" i="2"/>
  <c r="BP31" i="5" l="1"/>
  <c r="AG189" i="2"/>
  <c r="BP33" i="5" l="1"/>
  <c r="BQ31" i="5"/>
  <c r="AG191" i="2"/>
  <c r="AG193" i="2" s="1"/>
  <c r="BR31" i="5" l="1"/>
  <c r="BR33" i="5" s="1"/>
  <c r="BQ33" i="5"/>
  <c r="AG208" i="2"/>
  <c r="AG233" i="2" s="1"/>
  <c r="AG192" i="2"/>
  <c r="AG215" i="2" l="1"/>
  <c r="AG232" i="2"/>
  <c r="AH231" i="2"/>
  <c r="AG218" i="2" l="1"/>
  <c r="AG211" i="2"/>
  <c r="AG212" i="2" l="1"/>
  <c r="AH183" i="2"/>
  <c r="AH182" i="2"/>
  <c r="AG237" i="2"/>
  <c r="AG224" i="2"/>
  <c r="BS31" i="5" l="1"/>
  <c r="AH189" i="2"/>
  <c r="BJ182" i="2"/>
  <c r="BT31" i="5" l="1"/>
  <c r="BS33" i="5"/>
  <c r="AH191" i="2"/>
  <c r="AH193" i="2" s="1"/>
  <c r="AH208" i="2" s="1"/>
  <c r="AH233" i="2" s="1"/>
  <c r="BT33" i="5" l="1"/>
  <c r="BU31" i="5"/>
  <c r="BU33" i="5" s="1"/>
  <c r="AH215" i="2"/>
  <c r="AH232" i="2"/>
  <c r="AI231" i="2"/>
  <c r="AH192" i="2"/>
  <c r="AH218" i="2" l="1"/>
  <c r="AH211" i="2"/>
  <c r="BJ215" i="2"/>
  <c r="AH212" i="2" l="1"/>
  <c r="AI182" i="2"/>
  <c r="AI183" i="2"/>
  <c r="BJ211" i="2"/>
  <c r="BJ212" i="2" s="1"/>
  <c r="AH237" i="2"/>
  <c r="AH224" i="2"/>
  <c r="BJ218" i="2"/>
  <c r="BJ216" i="2" s="1"/>
  <c r="BV31" i="5" l="1"/>
  <c r="AI189" i="2"/>
  <c r="H39" i="5" l="1"/>
  <c r="BW31" i="5"/>
  <c r="BV33" i="5"/>
  <c r="AI191" i="2"/>
  <c r="AI193" i="2" s="1"/>
  <c r="AI208" i="2" s="1"/>
  <c r="AI233" i="2" s="1"/>
  <c r="BX31" i="5" l="1"/>
  <c r="BX33" i="5" s="1"/>
  <c r="BW33" i="5"/>
  <c r="AI215" i="2"/>
  <c r="AI232" i="2"/>
  <c r="AJ231" i="2"/>
  <c r="AI192" i="2"/>
  <c r="AI218" i="2" l="1"/>
  <c r="AI211" i="2"/>
  <c r="AJ182" i="2" l="1"/>
  <c r="AI212" i="2"/>
  <c r="AJ183" i="2"/>
  <c r="AI224" i="2"/>
  <c r="AI237" i="2"/>
  <c r="BY31" i="5" l="1"/>
  <c r="AJ189" i="2"/>
  <c r="BZ31" i="5" l="1"/>
  <c r="BY33" i="5"/>
  <c r="AJ191" i="2"/>
  <c r="AJ193" i="2" s="1"/>
  <c r="BZ33" i="5" l="1"/>
  <c r="CA31" i="5"/>
  <c r="CA33" i="5" s="1"/>
  <c r="AJ208" i="2"/>
  <c r="AJ233" i="2" s="1"/>
  <c r="AJ192" i="2"/>
  <c r="AJ215" i="2" l="1"/>
  <c r="AJ232" i="2"/>
  <c r="AK231" i="2"/>
  <c r="AJ218" i="2" l="1"/>
  <c r="AJ211" i="2"/>
  <c r="AJ212" i="2" l="1"/>
  <c r="AK183" i="2"/>
  <c r="AK182" i="2"/>
  <c r="AJ237" i="2"/>
  <c r="AJ224" i="2"/>
  <c r="CB31" i="5" l="1"/>
  <c r="AK189" i="2"/>
  <c r="CC31" i="5" l="1"/>
  <c r="CB33" i="5"/>
  <c r="AK191" i="2"/>
  <c r="AK193" i="2" s="1"/>
  <c r="CD31" i="5" l="1"/>
  <c r="CD33" i="5" s="1"/>
  <c r="CC33" i="5"/>
  <c r="AK208" i="2"/>
  <c r="AK233" i="2" s="1"/>
  <c r="AK192" i="2"/>
  <c r="AK215" i="2" l="1"/>
  <c r="AK232" i="2"/>
  <c r="AL231" i="2"/>
  <c r="AK218" i="2" l="1"/>
  <c r="AK211" i="2"/>
  <c r="AL183" i="2" l="1"/>
  <c r="AK212" i="2"/>
  <c r="AL182" i="2"/>
  <c r="AK237" i="2"/>
  <c r="AK224" i="2"/>
  <c r="CE31" i="5" l="1"/>
  <c r="AL189" i="2"/>
  <c r="BK182" i="2"/>
  <c r="CE33" i="5" l="1"/>
  <c r="CF31" i="5"/>
  <c r="AL191" i="2"/>
  <c r="AL193" i="2" s="1"/>
  <c r="AL208" i="2" s="1"/>
  <c r="AL233" i="2" s="1"/>
  <c r="CF33" i="5" l="1"/>
  <c r="CG31" i="5"/>
  <c r="CG33" i="5" s="1"/>
  <c r="AL215" i="2"/>
  <c r="AL232" i="2"/>
  <c r="AM231" i="2"/>
  <c r="AL192" i="2"/>
  <c r="AL218" i="2" l="1"/>
  <c r="AL211" i="2"/>
  <c r="BK215" i="2"/>
  <c r="AL212" i="2" l="1"/>
  <c r="AM183" i="2"/>
  <c r="AM182" i="2"/>
  <c r="BK211" i="2"/>
  <c r="BK212" i="2" s="1"/>
  <c r="AL237" i="2"/>
  <c r="AL224" i="2"/>
  <c r="BK218" i="2"/>
  <c r="BK216" i="2" s="1"/>
  <c r="CH31" i="5" l="1"/>
  <c r="AM189" i="2"/>
  <c r="CH33" i="5" l="1"/>
  <c r="I39" i="5"/>
  <c r="CI31" i="5"/>
  <c r="AM191" i="2"/>
  <c r="AM193" i="2" s="1"/>
  <c r="CJ31" i="5" l="1"/>
  <c r="CJ33" i="5" s="1"/>
  <c r="CI33" i="5"/>
  <c r="AM208" i="2"/>
  <c r="AM233" i="2" s="1"/>
  <c r="AM192" i="2"/>
  <c r="AM215" i="2" l="1"/>
  <c r="AM232" i="2"/>
  <c r="AN231" i="2"/>
  <c r="AM218" i="2" l="1"/>
  <c r="AM211" i="2"/>
  <c r="AN183" i="2" l="1"/>
  <c r="AN182" i="2"/>
  <c r="AM212" i="2"/>
  <c r="AM237" i="2"/>
  <c r="AM224" i="2"/>
  <c r="CK31" i="5" l="1"/>
  <c r="AN189" i="2"/>
  <c r="CK33" i="5" l="1"/>
  <c r="CL31" i="5"/>
  <c r="AN191" i="2"/>
  <c r="AN193" i="2" s="1"/>
  <c r="CM31" i="5" l="1"/>
  <c r="CM33" i="5" s="1"/>
  <c r="CL33" i="5"/>
  <c r="AN208" i="2"/>
  <c r="AN233" i="2" s="1"/>
  <c r="AN192" i="2"/>
  <c r="AN215" i="2" l="1"/>
  <c r="AO231" i="2"/>
  <c r="AN232" i="2"/>
  <c r="AN218" i="2" l="1"/>
  <c r="AN211" i="2"/>
  <c r="AO182" i="2" l="1"/>
  <c r="AN212" i="2"/>
  <c r="AO183" i="2"/>
  <c r="AN237" i="2"/>
  <c r="AN224" i="2"/>
  <c r="CN31" i="5" l="1"/>
  <c r="AO189" i="2"/>
  <c r="CO31" i="5" l="1"/>
  <c r="CN33" i="5"/>
  <c r="AO191" i="2"/>
  <c r="AO193" i="2" s="1"/>
  <c r="CP31" i="5" l="1"/>
  <c r="CP33" i="5" s="1"/>
  <c r="CO33" i="5"/>
  <c r="AO208" i="2"/>
  <c r="AO233" i="2" s="1"/>
  <c r="AO192" i="2"/>
  <c r="AO215" i="2" l="1"/>
  <c r="AO232" i="2"/>
  <c r="AP231" i="2"/>
  <c r="AO218" i="2" l="1"/>
  <c r="AO211" i="2"/>
  <c r="AP182" i="2" l="1"/>
  <c r="AP183" i="2"/>
  <c r="AO212" i="2"/>
  <c r="AO237" i="2"/>
  <c r="AO224" i="2"/>
  <c r="CQ31" i="5" l="1"/>
  <c r="AP189" i="2"/>
  <c r="BL182" i="2"/>
  <c r="CQ33" i="5" l="1"/>
  <c r="CR31" i="5"/>
  <c r="AP191" i="2"/>
  <c r="AP193" i="2" s="1"/>
  <c r="AP208" i="2" s="1"/>
  <c r="AP233" i="2" s="1"/>
  <c r="CR33" i="5" l="1"/>
  <c r="CS31" i="5"/>
  <c r="CS33" i="5" s="1"/>
  <c r="AP192" i="2"/>
  <c r="AP215" i="2"/>
  <c r="AQ231" i="2"/>
  <c r="AP232" i="2"/>
  <c r="AP218" i="2" l="1"/>
  <c r="AP211" i="2"/>
  <c r="BL215" i="2"/>
  <c r="AQ182" i="2" l="1"/>
  <c r="AQ183" i="2"/>
  <c r="AP212" i="2"/>
  <c r="BL211" i="2"/>
  <c r="BL212" i="2" s="1"/>
  <c r="AP237" i="2"/>
  <c r="AP224" i="2"/>
  <c r="BL218" i="2"/>
  <c r="BL216" i="2" s="1"/>
  <c r="CT31" i="5" l="1"/>
  <c r="AQ189" i="2"/>
  <c r="J39" i="5" l="1"/>
  <c r="CT33" i="5"/>
  <c r="CU31" i="5"/>
  <c r="AQ191" i="2"/>
  <c r="AQ193" i="2" s="1"/>
  <c r="CV31" i="5" l="1"/>
  <c r="CV33" i="5" s="1"/>
  <c r="CU33" i="5"/>
  <c r="AQ208" i="2"/>
  <c r="AQ233" i="2" s="1"/>
  <c r="AQ192" i="2"/>
  <c r="AQ215" i="2" l="1"/>
  <c r="AQ232" i="2"/>
  <c r="AR231" i="2"/>
  <c r="AQ218" i="2" l="1"/>
  <c r="AQ211" i="2"/>
  <c r="AQ212" i="2" l="1"/>
  <c r="AR182" i="2"/>
  <c r="AR183" i="2"/>
  <c r="AQ224" i="2"/>
  <c r="AQ237" i="2"/>
  <c r="CW31" i="5" l="1"/>
  <c r="AR189" i="2"/>
  <c r="CX31" i="5" l="1"/>
  <c r="CW33" i="5"/>
  <c r="AR191" i="2"/>
  <c r="AR193" i="2" s="1"/>
  <c r="CX33" i="5" l="1"/>
  <c r="CY31" i="5"/>
  <c r="CY33" i="5" s="1"/>
  <c r="AR208" i="2"/>
  <c r="AR233" i="2" s="1"/>
  <c r="AR192" i="2"/>
  <c r="AR215" i="2" l="1"/>
  <c r="AR232" i="2"/>
  <c r="AS231" i="2"/>
  <c r="AR218" i="2" l="1"/>
  <c r="AR211" i="2"/>
  <c r="AS182" i="2" l="1"/>
  <c r="AR212" i="2"/>
  <c r="AS183" i="2"/>
  <c r="AR237" i="2"/>
  <c r="AR224" i="2"/>
  <c r="CZ31" i="5" l="1"/>
  <c r="AS189" i="2"/>
  <c r="CZ33" i="5" l="1"/>
  <c r="DA31" i="5"/>
  <c r="AS191" i="2"/>
  <c r="AS193" i="2" s="1"/>
  <c r="DB31" i="5" l="1"/>
  <c r="DB33" i="5" s="1"/>
  <c r="DA33" i="5"/>
  <c r="AS208" i="2"/>
  <c r="AS233" i="2" s="1"/>
  <c r="AS192" i="2"/>
  <c r="AS215" i="2" l="1"/>
  <c r="AS232" i="2"/>
  <c r="AT231" i="2"/>
  <c r="AS218" i="2" l="1"/>
  <c r="AS211" i="2"/>
  <c r="AS212" i="2" l="1"/>
  <c r="AT182" i="2"/>
  <c r="AT183" i="2"/>
  <c r="AS237" i="2"/>
  <c r="AS224" i="2"/>
  <c r="DC31" i="5" l="1"/>
  <c r="AT189" i="2"/>
  <c r="BM182" i="2"/>
  <c r="DC33" i="5" l="1"/>
  <c r="DD31" i="5"/>
  <c r="AT191" i="2"/>
  <c r="AT193" i="2" s="1"/>
  <c r="AT208" i="2" s="1"/>
  <c r="AT233" i="2" s="1"/>
  <c r="DD33" i="5" l="1"/>
  <c r="DE31" i="5"/>
  <c r="DE33" i="5" s="1"/>
  <c r="AT215" i="2"/>
  <c r="AU231" i="2"/>
  <c r="AT232" i="2"/>
  <c r="AT192" i="2"/>
  <c r="AT218" i="2" l="1"/>
  <c r="AT211" i="2"/>
  <c r="BM215" i="2"/>
  <c r="AU182" i="2" l="1"/>
  <c r="AU183" i="2"/>
  <c r="AT212" i="2"/>
  <c r="BM211" i="2"/>
  <c r="BM212" i="2" s="1"/>
  <c r="AT239" i="2"/>
  <c r="AT240" i="2" s="1"/>
  <c r="C242" i="2" s="1"/>
  <c r="E1" i="2" s="1"/>
  <c r="AT237" i="2"/>
  <c r="AT224" i="2"/>
  <c r="BM218" i="2"/>
  <c r="BM216" i="2" s="1"/>
  <c r="DF31" i="5" l="1"/>
  <c r="AU189" i="2"/>
  <c r="DG31" i="5" l="1"/>
  <c r="DF33" i="5"/>
  <c r="K39" i="5"/>
  <c r="AU191" i="2"/>
  <c r="AU193" i="2" s="1"/>
  <c r="AU208" i="2" s="1"/>
  <c r="AU233" i="2" s="1"/>
  <c r="DH31" i="5" l="1"/>
  <c r="DH33" i="5" s="1"/>
  <c r="DG33" i="5"/>
  <c r="AU215" i="2"/>
  <c r="AU232" i="2"/>
  <c r="AV231" i="2"/>
  <c r="AU192" i="2"/>
  <c r="AU211" i="2" l="1"/>
  <c r="AU218" i="2"/>
  <c r="AV215" i="2"/>
  <c r="AV183" i="2" l="1"/>
  <c r="AV182" i="2"/>
  <c r="AU212" i="2"/>
  <c r="AW215" i="2"/>
  <c r="AU224" i="2"/>
  <c r="AU251" i="2"/>
  <c r="AU252" i="2" s="1"/>
  <c r="C254" i="2" s="1"/>
  <c r="AU237" i="2"/>
  <c r="DI31" i="5" s="1"/>
  <c r="AV189" i="2" l="1"/>
  <c r="DJ31" i="5"/>
  <c r="DI33" i="5"/>
  <c r="AX215" i="2"/>
  <c r="AV191" i="2"/>
  <c r="AV193" i="2" s="1"/>
  <c r="AV208" i="2" s="1"/>
  <c r="AV233" i="2" s="1"/>
  <c r="DK31" i="5" l="1"/>
  <c r="DK33" i="5" s="1"/>
  <c r="DJ33" i="5"/>
  <c r="AV218" i="2"/>
  <c r="AV263" i="2" s="1"/>
  <c r="AV264" i="2" s="1"/>
  <c r="C266" i="2" s="1"/>
  <c r="AV232" i="2"/>
  <c r="AW231" i="2"/>
  <c r="AV211" i="2"/>
  <c r="AV192" i="2"/>
  <c r="AY215" i="2"/>
  <c r="AZ215" i="2" l="1"/>
  <c r="AV212" i="2"/>
  <c r="AW183" i="2"/>
  <c r="AW182" i="2"/>
  <c r="AV237" i="2"/>
  <c r="AV224" i="2"/>
  <c r="AW189" i="2" l="1"/>
  <c r="AW191" i="2" s="1"/>
  <c r="AW193" i="2" s="1"/>
  <c r="AW208" i="2" s="1"/>
  <c r="AW233" i="2" s="1"/>
  <c r="AX231" i="2" s="1"/>
  <c r="DL31" i="5"/>
  <c r="AW218" i="2"/>
  <c r="AW275" i="2" s="1"/>
  <c r="AW276" i="2" s="1"/>
  <c r="C278" i="2" s="1"/>
  <c r="AZ218" i="2"/>
  <c r="AW232" i="2" l="1"/>
  <c r="AW192" i="2"/>
  <c r="AW211" i="2"/>
  <c r="AW212" i="2" s="1"/>
  <c r="DL33" i="5"/>
  <c r="DM31" i="5"/>
  <c r="AZ237" i="2"/>
  <c r="AZ224" i="2"/>
  <c r="AW237" i="2"/>
  <c r="AW224" i="2"/>
  <c r="AX183" i="2" l="1"/>
  <c r="AX182" i="2"/>
  <c r="DM33" i="5"/>
  <c r="DN31" i="5"/>
  <c r="DN33" i="5" s="1"/>
  <c r="AX189" i="2" l="1"/>
  <c r="AX191" i="2" s="1"/>
  <c r="AX193" i="2" s="1"/>
  <c r="AX208" i="2" s="1"/>
  <c r="AX233" i="2" s="1"/>
  <c r="AY231" i="2" s="1"/>
  <c r="DO31" i="5"/>
  <c r="DO33" i="5" s="1"/>
  <c r="AX218" i="2"/>
  <c r="AX192" i="2" l="1"/>
  <c r="AX232" i="2"/>
  <c r="AX211" i="2"/>
  <c r="AX212" i="2" s="1"/>
  <c r="DP31" i="5"/>
  <c r="DQ31" i="5" s="1"/>
  <c r="DQ33" i="5" s="1"/>
  <c r="AY183" i="2"/>
  <c r="AY182" i="2"/>
  <c r="AX224" i="2"/>
  <c r="AX237" i="2"/>
  <c r="DP33" i="5" l="1"/>
  <c r="DR31" i="5"/>
  <c r="AY189" i="2"/>
  <c r="DR33" i="5" l="1"/>
  <c r="K18" i="5" s="1"/>
  <c r="K15" i="5"/>
  <c r="K22" i="5" s="1"/>
  <c r="K23" i="5" s="1"/>
  <c r="L39" i="5"/>
  <c r="AY191" i="2"/>
  <c r="AY193" i="2" s="1"/>
  <c r="AY208" i="2" s="1"/>
  <c r="AY233" i="2" s="1"/>
  <c r="K20" i="5" l="1"/>
  <c r="K16" i="5"/>
  <c r="AY218" i="2"/>
  <c r="AY232" i="2"/>
  <c r="AZ231" i="2"/>
  <c r="AY211" i="2"/>
  <c r="AY192" i="2"/>
  <c r="AZ183" i="2" l="1"/>
  <c r="AZ182" i="2"/>
  <c r="AY212" i="2"/>
  <c r="AY237" i="2"/>
  <c r="AY224" i="2"/>
  <c r="AZ189" i="2" l="1"/>
  <c r="BF183" i="2"/>
  <c r="BF189" i="2" s="1"/>
  <c r="BG183" i="2"/>
  <c r="BG189" i="2" s="1"/>
  <c r="BH183" i="2"/>
  <c r="BH189" i="2" s="1"/>
  <c r="BI183" i="2"/>
  <c r="BI189" i="2" s="1"/>
  <c r="BJ183" i="2"/>
  <c r="BJ189" i="2" s="1"/>
  <c r="BK183" i="2"/>
  <c r="BK189" i="2" s="1"/>
  <c r="BL183" i="2"/>
  <c r="BL189" i="2" s="1"/>
  <c r="BM183" i="2"/>
  <c r="BM189" i="2" s="1"/>
  <c r="AZ191" i="2"/>
  <c r="AZ193" i="2" s="1"/>
  <c r="AZ192" i="2" l="1"/>
  <c r="AZ208" i="2"/>
  <c r="AZ233" i="2" s="1"/>
  <c r="BF193" i="2"/>
  <c r="BF208" i="2" s="1"/>
  <c r="BG193" i="2"/>
  <c r="BG208" i="2" s="1"/>
  <c r="BH193" i="2"/>
  <c r="BH208" i="2" s="1"/>
  <c r="BI193" i="2"/>
  <c r="BI208" i="2" s="1"/>
  <c r="BJ193" i="2"/>
  <c r="BJ208" i="2" s="1"/>
  <c r="BK193" i="2"/>
  <c r="BK208" i="2" s="1"/>
  <c r="BL193" i="2"/>
  <c r="BL208" i="2" s="1"/>
  <c r="BM193" i="2"/>
  <c r="BM208" i="2" s="1"/>
  <c r="AZ232" i="2" l="1"/>
  <c r="AZ211" i="2"/>
  <c r="AZ212" i="2" s="1"/>
</calcChain>
</file>

<file path=xl/sharedStrings.xml><?xml version="1.0" encoding="utf-8"?>
<sst xmlns="http://schemas.openxmlformats.org/spreadsheetml/2006/main" count="410" uniqueCount="263">
  <si>
    <t>Inputs (Вводные данные в модель)</t>
  </si>
  <si>
    <t>Объект</t>
  </si>
  <si>
    <t>Base</t>
  </si>
  <si>
    <t>Дата покупки</t>
  </si>
  <si>
    <t>Sources</t>
  </si>
  <si>
    <t>Руб.</t>
  </si>
  <si>
    <t>%</t>
  </si>
  <si>
    <t>Uses</t>
  </si>
  <si>
    <t>Комиссия SimpleEstate</t>
  </si>
  <si>
    <t>Итого</t>
  </si>
  <si>
    <t>Затраты, в год</t>
  </si>
  <si>
    <t>SimpleEstate Transaction Fees</t>
  </si>
  <si>
    <t>SimpleEstate Management Fees</t>
  </si>
  <si>
    <t xml:space="preserve">Страхование </t>
  </si>
  <si>
    <t xml:space="preserve">Минимальный остаток денежных средств </t>
  </si>
  <si>
    <t xml:space="preserve">Комиссия SimpleEstate </t>
  </si>
  <si>
    <t>Год</t>
  </si>
  <si>
    <t xml:space="preserve">Квартал </t>
  </si>
  <si>
    <t>4 кв.</t>
  </si>
  <si>
    <t>Арендная выручка</t>
  </si>
  <si>
    <t>Налог на недвижимость</t>
  </si>
  <si>
    <t>NOI</t>
  </si>
  <si>
    <t>NOI margin,%</t>
  </si>
  <si>
    <t xml:space="preserve">Due Diligence </t>
  </si>
  <si>
    <t>Страхование недвижимости</t>
  </si>
  <si>
    <t>EBT</t>
  </si>
  <si>
    <t>FCF</t>
  </si>
  <si>
    <t>Cap Rate</t>
  </si>
  <si>
    <t>Дивиденды</t>
  </si>
  <si>
    <t>Денежные средства на начало</t>
  </si>
  <si>
    <t>Денежный поток</t>
  </si>
  <si>
    <t>Денежные средства на конец</t>
  </si>
  <si>
    <t xml:space="preserve">Цена / м2, руб. </t>
  </si>
  <si>
    <t xml:space="preserve">Цена покупки </t>
  </si>
  <si>
    <t>1 кв.</t>
  </si>
  <si>
    <t xml:space="preserve">Последний месяц отчетного периода </t>
  </si>
  <si>
    <t>Рыночная стоимость объекта (EV)</t>
  </si>
  <si>
    <t>Акционерный капитал (Equity)</t>
  </si>
  <si>
    <t>Рост EV (квартальный), %</t>
  </si>
  <si>
    <t>Дивидендная доходность,%</t>
  </si>
  <si>
    <t xml:space="preserve">Эксплуатация </t>
  </si>
  <si>
    <t>2 кв.</t>
  </si>
  <si>
    <t>Выпуск акций</t>
  </si>
  <si>
    <t xml:space="preserve">Расходы </t>
  </si>
  <si>
    <t>3 кв.</t>
  </si>
  <si>
    <t xml:space="preserve">Кадастровая стоимость / м2, руб. </t>
  </si>
  <si>
    <t xml:space="preserve">Временные периоды </t>
  </si>
  <si>
    <t>Рост выручки (г/г) , %</t>
  </si>
  <si>
    <t>1 год</t>
  </si>
  <si>
    <t>2 год</t>
  </si>
  <si>
    <t>3 год</t>
  </si>
  <si>
    <t>5 год</t>
  </si>
  <si>
    <t>6 год</t>
  </si>
  <si>
    <t>7 год</t>
  </si>
  <si>
    <t>8 год</t>
  </si>
  <si>
    <t>9 год</t>
  </si>
  <si>
    <t>10 год</t>
  </si>
  <si>
    <t>Привлечение капитала</t>
  </si>
  <si>
    <t xml:space="preserve">Количество акций </t>
  </si>
  <si>
    <t xml:space="preserve">Дивиденды </t>
  </si>
  <si>
    <t>покупка</t>
  </si>
  <si>
    <t xml:space="preserve">Цена акции </t>
  </si>
  <si>
    <t>Дивиденды на акцию</t>
  </si>
  <si>
    <t xml:space="preserve">4 год </t>
  </si>
  <si>
    <t xml:space="preserve">2 кв. </t>
  </si>
  <si>
    <t xml:space="preserve">3 кв. </t>
  </si>
  <si>
    <t xml:space="preserve">4 кв. </t>
  </si>
  <si>
    <t xml:space="preserve">5 кв. </t>
  </si>
  <si>
    <t>6 кв.</t>
  </si>
  <si>
    <t>Налог на землю</t>
  </si>
  <si>
    <t>Налог на имущество</t>
  </si>
  <si>
    <t>Юридические и прочие расходы</t>
  </si>
  <si>
    <t>в рублях, без НДС</t>
  </si>
  <si>
    <t>Прочие вводные данные</t>
  </si>
  <si>
    <t>Покупка объекта</t>
  </si>
  <si>
    <t>Долг</t>
  </si>
  <si>
    <t>Привлечение долга</t>
  </si>
  <si>
    <t>Ставка налога на имущество (от кадастра)</t>
  </si>
  <si>
    <t>Ставка налога на землю (от кадастра)</t>
  </si>
  <si>
    <t>SimpleEstate - комиссия за продажу объекта</t>
  </si>
  <si>
    <t>Нотариус</t>
  </si>
  <si>
    <t>Upside</t>
  </si>
  <si>
    <t>Downside</t>
  </si>
  <si>
    <t>Площадь, м2 (GLA)</t>
  </si>
  <si>
    <t xml:space="preserve">Кадастровая стоимость помещений </t>
  </si>
  <si>
    <t xml:space="preserve">Арендаторы </t>
  </si>
  <si>
    <t>Ввод в эксплуатацию</t>
  </si>
  <si>
    <t>Арендаторы</t>
  </si>
  <si>
    <t xml:space="preserve">Начало работы арендаторов </t>
  </si>
  <si>
    <t>Ремонт, мес.</t>
  </si>
  <si>
    <t xml:space="preserve">Арендный поток </t>
  </si>
  <si>
    <t>FreeViser, руб.</t>
  </si>
  <si>
    <t xml:space="preserve">Рост расходов </t>
  </si>
  <si>
    <t>Debt BoP</t>
  </si>
  <si>
    <t>Debt EoP</t>
  </si>
  <si>
    <t xml:space="preserve">Покупка </t>
  </si>
  <si>
    <t xml:space="preserve">Продажа </t>
  </si>
  <si>
    <t>CF</t>
  </si>
  <si>
    <t>IRR</t>
  </si>
  <si>
    <t>Avg.CoC</t>
  </si>
  <si>
    <t>Год (порядковый номер)</t>
  </si>
  <si>
    <t>Проценты по долгу</t>
  </si>
  <si>
    <t>Резерв</t>
  </si>
  <si>
    <t>Кадастровая стоимость земельного участка</t>
  </si>
  <si>
    <t>Офис</t>
  </si>
  <si>
    <t xml:space="preserve">Стоимость ремонта </t>
  </si>
  <si>
    <t>Стоимость ремонта / м2, руб. с НДС</t>
  </si>
  <si>
    <t>Цена Объекта, руб. (c НДС)</t>
  </si>
  <si>
    <t xml:space="preserve">Окупаемость ремонта, лет </t>
  </si>
  <si>
    <t>Ставка налога на прибыль</t>
  </si>
  <si>
    <t>(+) OPEX, руб./м2/год (с НДС)</t>
  </si>
  <si>
    <t>(+) Ремонт, руб./м2/год (с НДС)</t>
  </si>
  <si>
    <t xml:space="preserve">Ставка НДС </t>
  </si>
  <si>
    <t xml:space="preserve">OPEX, руб. (с НДС) </t>
  </si>
  <si>
    <t>Ремонт (1-да/0-нет)</t>
  </si>
  <si>
    <t xml:space="preserve">Индексация ставки аренды </t>
  </si>
  <si>
    <t>Офис работает (1-да/0-нет)</t>
  </si>
  <si>
    <t>Индексация (1-да/0-нет)</t>
  </si>
  <si>
    <t xml:space="preserve">Индекс роста ставки аренды  </t>
  </si>
  <si>
    <t xml:space="preserve">All-in ставка аренды, руб./м2/год </t>
  </si>
  <si>
    <t>Базовая ставка аренды, руб./м2/год (с НДС)</t>
  </si>
  <si>
    <t>Офис I City</t>
  </si>
  <si>
    <t>-</t>
  </si>
  <si>
    <t xml:space="preserve">Прочие параметры сделки </t>
  </si>
  <si>
    <t xml:space="preserve">НДС с покупки </t>
  </si>
  <si>
    <t xml:space="preserve">НДС с ремонта </t>
  </si>
  <si>
    <t xml:space="preserve">Возмещение НДС </t>
  </si>
  <si>
    <t>Страхование</t>
  </si>
  <si>
    <t>Ремонт офиса</t>
  </si>
  <si>
    <t xml:space="preserve">Балансовая стоимость объекта </t>
  </si>
  <si>
    <t xml:space="preserve">Амортизация </t>
  </si>
  <si>
    <t xml:space="preserve">Амортизационная премия </t>
  </si>
  <si>
    <t>СПИ, лет</t>
  </si>
  <si>
    <t>Прибыль с учетом накопленного убытка</t>
  </si>
  <si>
    <t>Остаток убытка</t>
  </si>
  <si>
    <t>Налог на прибыль (ОСНО)</t>
  </si>
  <si>
    <t xml:space="preserve">Mezzanine / Convertible Loan </t>
  </si>
  <si>
    <t>Ставка по займу</t>
  </si>
  <si>
    <t xml:space="preserve">PIK interest </t>
  </si>
  <si>
    <t>Cash Interest</t>
  </si>
  <si>
    <t>LTV</t>
  </si>
  <si>
    <t>Cash interest</t>
  </si>
  <si>
    <t xml:space="preserve">Interest Accrued </t>
  </si>
  <si>
    <t>Issuance</t>
  </si>
  <si>
    <t xml:space="preserve">Repayment </t>
  </si>
  <si>
    <t>Balance Sheet (Interests Payable)</t>
  </si>
  <si>
    <t>LPs CF</t>
  </si>
  <si>
    <t>LPs IRR</t>
  </si>
  <si>
    <t xml:space="preserve">Долг </t>
  </si>
  <si>
    <t xml:space="preserve">Погашение долга </t>
  </si>
  <si>
    <t>Cap Rate Exit</t>
  </si>
  <si>
    <t>Avg.СoC</t>
  </si>
  <si>
    <t>Размер долга, руб.</t>
  </si>
  <si>
    <t>Цена помещения, руб. (c НДС)</t>
  </si>
  <si>
    <t>Цена паркинга, руб. (c НДС)</t>
  </si>
  <si>
    <t xml:space="preserve">Equity </t>
  </si>
  <si>
    <t xml:space="preserve">Short-term bridge loan </t>
  </si>
  <si>
    <t xml:space="preserve">Конвертируемый займ </t>
  </si>
  <si>
    <t xml:space="preserve">Бридж-займ под НДС </t>
  </si>
  <si>
    <t>Interest Accrued</t>
  </si>
  <si>
    <t>Interest paid</t>
  </si>
  <si>
    <t xml:space="preserve">Акции </t>
  </si>
  <si>
    <t xml:space="preserve">1й раунд </t>
  </si>
  <si>
    <t xml:space="preserve">2й раунд </t>
  </si>
  <si>
    <t xml:space="preserve">3й раунд </t>
  </si>
  <si>
    <t xml:space="preserve">Сумма сбора </t>
  </si>
  <si>
    <t xml:space="preserve">Эмиссия </t>
  </si>
  <si>
    <t>Цена акции, руб.</t>
  </si>
  <si>
    <t>Дивиденд, руб. / акцию</t>
  </si>
  <si>
    <t>Доходность, %</t>
  </si>
  <si>
    <t>Расчет Cap Rate</t>
  </si>
  <si>
    <t>руб.</t>
  </si>
  <si>
    <t xml:space="preserve">Cap Rate </t>
  </si>
  <si>
    <t>OPEX</t>
  </si>
  <si>
    <t>NOI margin</t>
  </si>
  <si>
    <t>Окупаемость</t>
  </si>
  <si>
    <t xml:space="preserve">лет </t>
  </si>
  <si>
    <t>Бридж-займ</t>
  </si>
  <si>
    <t xml:space="preserve">Рассрочка от застройщика </t>
  </si>
  <si>
    <t xml:space="preserve">Первоначальный взнос </t>
  </si>
  <si>
    <t xml:space="preserve">Срок рассрочки, лет </t>
  </si>
  <si>
    <t xml:space="preserve">Окончание рассрочки </t>
  </si>
  <si>
    <t>Рассрочка (периоды)</t>
  </si>
  <si>
    <t>Рассрочка (график)</t>
  </si>
  <si>
    <t xml:space="preserve">Уплата НДС с покупки </t>
  </si>
  <si>
    <t xml:space="preserve">Уплата НДС с ремонта </t>
  </si>
  <si>
    <t xml:space="preserve">Возмещение НДС с покупки </t>
  </si>
  <si>
    <t xml:space="preserve">Возмещение НДС с ремонта </t>
  </si>
  <si>
    <t>Раунд</t>
  </si>
  <si>
    <t>Выручка</t>
  </si>
  <si>
    <t xml:space="preserve">Комиссия за поиск арендатора </t>
  </si>
  <si>
    <t>Avg.CoC - 1 год</t>
  </si>
  <si>
    <t>4 год</t>
  </si>
  <si>
    <t>Компенсация операционных расходов</t>
  </si>
  <si>
    <t xml:space="preserve">Изменение начисленных процентов </t>
  </si>
  <si>
    <t>Дивидендная доходность, %</t>
  </si>
  <si>
    <t>NOI margin, %</t>
  </si>
  <si>
    <t>Рост выручки, %</t>
  </si>
  <si>
    <t>Рост EV, %</t>
  </si>
  <si>
    <t>Рост Equity, %</t>
  </si>
  <si>
    <t>Раунд 1</t>
  </si>
  <si>
    <t>Раунд 2</t>
  </si>
  <si>
    <t>Раунд 3</t>
  </si>
  <si>
    <t xml:space="preserve">Показатель </t>
  </si>
  <si>
    <t>Ед. изм.</t>
  </si>
  <si>
    <t xml:space="preserve">Результаты инвестиций  </t>
  </si>
  <si>
    <t xml:space="preserve">Дата инвестирования </t>
  </si>
  <si>
    <t>---</t>
  </si>
  <si>
    <t xml:space="preserve">Cтоимость доли в момент выхода из проекта </t>
  </si>
  <si>
    <t>В каком раунде вы инвестировали ?</t>
  </si>
  <si>
    <t xml:space="preserve">&lt;== Выберите раунд из списка </t>
  </si>
  <si>
    <t>Общий прирост стоимости</t>
  </si>
  <si>
    <t>Через сколько лет хотите продать ?</t>
  </si>
  <si>
    <t xml:space="preserve">&lt;== Введите кол-во лет </t>
  </si>
  <si>
    <t>Полученные дивиденды</t>
  </si>
  <si>
    <t>&lt;== Введите сценарий</t>
  </si>
  <si>
    <t>Общая доходность (IRR)</t>
  </si>
  <si>
    <t xml:space="preserve">Проинвестированная сумма </t>
  </si>
  <si>
    <t>&lt;== Введите сумму</t>
  </si>
  <si>
    <t xml:space="preserve">Средняя дивидендная доходность </t>
  </si>
  <si>
    <t>Money Multiple (MoM)</t>
  </si>
  <si>
    <t>Цена акции</t>
  </si>
  <si>
    <t xml:space="preserve">Кол-во приобретаемых акций </t>
  </si>
  <si>
    <t>шт.</t>
  </si>
  <si>
    <t>Доход инвестора (дивиденды + стоимость доли)</t>
  </si>
  <si>
    <t xml:space="preserve">Доля в капитале акционерного общества </t>
  </si>
  <si>
    <t>Прибыль инвестора (доход - инвестиции)</t>
  </si>
  <si>
    <t xml:space="preserve">Месяц </t>
  </si>
  <si>
    <t>Показатель</t>
  </si>
  <si>
    <t xml:space="preserve">Стоимость доли </t>
  </si>
  <si>
    <t xml:space="preserve">Денежный поток </t>
  </si>
  <si>
    <t xml:space="preserve">Дата </t>
  </si>
  <si>
    <t>Покупка</t>
  </si>
  <si>
    <t>1й год</t>
  </si>
  <si>
    <t>2й год</t>
  </si>
  <si>
    <t>3й год</t>
  </si>
  <si>
    <t>4й год</t>
  </si>
  <si>
    <t>5й год</t>
  </si>
  <si>
    <t>6й год</t>
  </si>
  <si>
    <t>7й год</t>
  </si>
  <si>
    <t>8й год</t>
  </si>
  <si>
    <t>9й год</t>
  </si>
  <si>
    <t>10й год</t>
  </si>
  <si>
    <t>Калькулятор доходности инвестора "Офис в БЦ "ICity"</t>
  </si>
  <si>
    <r>
      <t xml:space="preserve">Сценарий </t>
    </r>
    <r>
      <rPr>
        <b/>
        <i/>
        <sz val="14"/>
        <color theme="1"/>
        <rFont val="Century Gothic"/>
        <family val="1"/>
      </rPr>
      <t>(1-базовый, 2-оптимистичный, 3-пессимистичный)</t>
    </r>
  </si>
  <si>
    <t>Базовая аренда</t>
  </si>
  <si>
    <t>В рублях</t>
  </si>
  <si>
    <t>Стоимость ремонта, с НДС</t>
  </si>
  <si>
    <t>Операционные расходы, руб. / м2 / год.</t>
  </si>
  <si>
    <t>Базовая ставка, руб./м2/год (shell &amp; core), без НДС</t>
  </si>
  <si>
    <t>(+) OPEX, руб./м2/год, без НДС</t>
  </si>
  <si>
    <t>(+) Ремонт, руб./м2/год, без НДС</t>
  </si>
  <si>
    <t>Итого ставка аренды, руб./м2/год (с ремонтом), без НДС</t>
  </si>
  <si>
    <t>Цена, без НДС</t>
  </si>
  <si>
    <t>Раунд 4</t>
  </si>
  <si>
    <t xml:space="preserve">Амортизация здания </t>
  </si>
  <si>
    <t xml:space="preserve">Амортизация ремонта </t>
  </si>
  <si>
    <t>Балансовая стоимость ремонт</t>
  </si>
  <si>
    <t xml:space="preserve">4й раунд </t>
  </si>
  <si>
    <t>Дивиденд, руб. / акцию (базовый)</t>
  </si>
  <si>
    <t>Дивиденд, руб. / акцию (оптимистич)</t>
  </si>
  <si>
    <t>Дивиденд, руб. / акцию (пессимистичный)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</si>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</sst>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%"/>
    <numFmt numFmtId="165" formatCode="#,##0.0"/>
    <numFmt numFmtId="166" formatCode="_-* #,##0_-;\-* #,##0_-;_-* &quot;-&quot;??_-;_-@_-"/>
    <numFmt numFmtId="167" formatCode="#,##0;\(#,##0\)"/>
    <numFmt numFmtId="168" formatCode="_-* #,##0.00\ _₽_-;\-* #,##0.00\ _₽_-;_-* &quot;-&quot;??\ _₽_-;_-@_-"/>
    <numFmt numFmtId="169" formatCode="0.000"/>
    <numFmt numFmtId="170" formatCode="#,##0_ ;\-#,##0\ "/>
    <numFmt numFmtId="171" formatCode="0.000%"/>
    <numFmt numFmtId="172" formatCode="0.0\х"/>
    <numFmt numFmtId="173" formatCode="_-* #,##0.0\ _₽_-;\-* #,##0.0\ _₽_-;_-* &quot;-&quot;??\ _₽_-;_-@_-"/>
    <numFmt numFmtId="174" formatCode="_-* #,##0\ _₽_-;\-* #,##0\ _₽_-;_-* &quot;-&quot;??\ _₽_-;_-@_-"/>
  </numFmts>
  <fonts count="69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16"/>
      <color rgb="FF0000FF"/>
      <name val="Calibri"/>
      <family val="2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color rgb="FF0000FF"/>
      <name val="Calibri"/>
      <family val="2"/>
    </font>
    <font>
      <b/>
      <sz val="16"/>
      <color rgb="FF0000FF"/>
      <name val="Calibri"/>
      <family val="2"/>
    </font>
    <font>
      <b/>
      <sz val="16"/>
      <color theme="0" tint="-0.499984740745262"/>
      <name val="Calibri"/>
      <family val="2"/>
    </font>
    <font>
      <i/>
      <sz val="16"/>
      <color theme="0" tint="-0.499984740745262"/>
      <name val="Calibri"/>
      <family val="2"/>
    </font>
    <font>
      <i/>
      <sz val="16"/>
      <name val="Calibri"/>
      <family val="2"/>
    </font>
    <font>
      <sz val="16"/>
      <color theme="0" tint="-0.499984740745262"/>
      <name val="Calibri"/>
      <family val="2"/>
    </font>
    <font>
      <b/>
      <i/>
      <sz val="16"/>
      <name val="Calibri"/>
      <family val="2"/>
    </font>
    <font>
      <i/>
      <sz val="16"/>
      <color theme="0" tint="-0.34998626667073579"/>
      <name val="Calibri"/>
      <family val="2"/>
    </font>
    <font>
      <b/>
      <i/>
      <sz val="16"/>
      <color theme="0" tint="-0.34998626667073579"/>
      <name val="Calibri"/>
      <family val="2"/>
    </font>
    <font>
      <sz val="16"/>
      <color theme="0" tint="-0.34998626667073579"/>
      <name val="Calibri"/>
      <family val="2"/>
    </font>
    <font>
      <b/>
      <sz val="16"/>
      <color theme="1"/>
      <name val="Calibri (Основной текст)"/>
      <charset val="204"/>
    </font>
    <font>
      <sz val="16"/>
      <color theme="1"/>
      <name val="Calibri (Основной текст)"/>
      <charset val="204"/>
    </font>
    <font>
      <i/>
      <sz val="16"/>
      <color theme="1"/>
      <name val="Calibri (Основной текст)"/>
      <charset val="204"/>
    </font>
    <font>
      <b/>
      <i/>
      <sz val="16"/>
      <color theme="1"/>
      <name val="Calibri"/>
      <family val="2"/>
    </font>
    <font>
      <b/>
      <i/>
      <sz val="16"/>
      <color rgb="FF0000FF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6"/>
      <color rgb="FF0000FF"/>
      <name val="Calibri"/>
      <family val="2"/>
      <scheme val="minor"/>
    </font>
    <font>
      <b/>
      <i/>
      <sz val="16"/>
      <color theme="0"/>
      <name val="Calibri"/>
      <family val="2"/>
    </font>
    <font>
      <b/>
      <sz val="16"/>
      <color theme="0" tint="-0.34998626667073579"/>
      <name val="Calibri"/>
      <family val="2"/>
    </font>
    <font>
      <sz val="12"/>
      <color theme="1"/>
      <name val="Century Gothic"/>
      <family val="1"/>
    </font>
    <font>
      <b/>
      <sz val="24"/>
      <color rgb="FF7030A0"/>
      <name val="Century Gothic"/>
      <family val="1"/>
    </font>
    <font>
      <sz val="12"/>
      <color rgb="FF0000FF"/>
      <name val="Century Gothic"/>
      <family val="1"/>
    </font>
    <font>
      <b/>
      <sz val="14"/>
      <color theme="0"/>
      <name val="Century Gothic"/>
      <family val="1"/>
    </font>
    <font>
      <sz val="14"/>
      <color theme="1"/>
      <name val="Century Gothic"/>
      <family val="1"/>
    </font>
    <font>
      <b/>
      <sz val="14"/>
      <color theme="1"/>
      <name val="Century Gothic"/>
      <family val="1"/>
    </font>
    <font>
      <b/>
      <sz val="14"/>
      <color rgb="FF0000FF"/>
      <name val="Century Gothic"/>
      <family val="1"/>
    </font>
    <font>
      <b/>
      <i/>
      <sz val="14"/>
      <color theme="0" tint="-0.499984740745262"/>
      <name val="Century Gothic"/>
      <family val="1"/>
    </font>
    <font>
      <sz val="14"/>
      <color theme="0"/>
      <name val="Century Gothic"/>
      <family val="1"/>
    </font>
    <font>
      <b/>
      <i/>
      <sz val="14"/>
      <color theme="1"/>
      <name val="Century Gothic"/>
      <family val="1"/>
    </font>
    <font>
      <b/>
      <sz val="14"/>
      <color rgb="FF7030A0"/>
      <name val="Century Gothic"/>
      <family val="1"/>
    </font>
    <font>
      <b/>
      <sz val="14"/>
      <color rgb="FFC00000"/>
      <name val="Century Gothic"/>
      <family val="1"/>
    </font>
    <font>
      <sz val="16"/>
      <color theme="1"/>
      <name val="Calibri"/>
      <family val="2"/>
      <charset val="204"/>
    </font>
    <font>
      <i/>
      <sz val="16"/>
      <color theme="1"/>
      <name val="Calibri"/>
      <family val="2"/>
      <charset val="204"/>
    </font>
    <font>
      <i/>
      <sz val="16"/>
      <color theme="0" tint="-0.34998626667073579"/>
      <name val="Calibri"/>
      <family val="2"/>
      <charset val="204"/>
    </font>
    <font>
      <sz val="24"/>
      <color theme="1"/>
      <name val="Calibri"/>
      <family val="2"/>
      <charset val="204"/>
    </font>
    <font>
      <b/>
      <sz val="24"/>
      <color theme="1"/>
      <name val="Calibri"/>
      <family val="2"/>
      <charset val="204"/>
    </font>
    <font>
      <sz val="24"/>
      <color theme="1"/>
      <name val="Calibri (Основной текст)"/>
      <charset val="204"/>
    </font>
    <font>
      <b/>
      <i/>
      <sz val="24"/>
      <color theme="1"/>
      <name val="Calibri"/>
      <family val="2"/>
      <charset val="204"/>
    </font>
    <font>
      <i/>
      <sz val="24"/>
      <color theme="0"/>
      <name val="Calibri"/>
      <family val="2"/>
      <charset val="204"/>
    </font>
    <font>
      <b/>
      <sz val="24"/>
      <color theme="0"/>
      <name val="Calibri"/>
      <family val="2"/>
      <charset val="204"/>
    </font>
    <font>
      <b/>
      <sz val="24"/>
      <color theme="1"/>
      <name val="Calibri (Основной текст)"/>
      <charset val="204"/>
    </font>
    <font>
      <sz val="24"/>
      <color theme="0" tint="-0.499984740745262"/>
      <name val="Calibri"/>
      <family val="2"/>
      <charset val="204"/>
    </font>
    <font>
      <sz val="24"/>
      <name val="Calibri"/>
      <family val="2"/>
      <charset val="204"/>
    </font>
    <font>
      <sz val="24"/>
      <color theme="0" tint="-0.34998626667073579"/>
      <name val="Calibri"/>
      <family val="2"/>
      <charset val="204"/>
    </font>
    <font>
      <sz val="24"/>
      <color theme="0" tint="-0.34998626667073579"/>
      <name val="Calibri (Основной текст)"/>
      <charset val="204"/>
    </font>
    <font>
      <i/>
      <sz val="24"/>
      <color theme="1"/>
      <name val="Calibri"/>
      <family val="2"/>
      <charset val="204"/>
    </font>
    <font>
      <i/>
      <sz val="24"/>
      <color theme="0" tint="-0.499984740745262"/>
      <name val="Calibri"/>
      <family val="2"/>
      <charset val="204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i/>
      <sz val="16"/>
      <color theme="0" tint="-0.499984740745262"/>
      <name val="Calibri"/>
      <family val="2"/>
      <charset val="204"/>
    </font>
    <font>
      <i/>
      <sz val="16"/>
      <color theme="0" tint="-0.499984740745262"/>
      <name val="Calibri (Основной текст)"/>
      <charset val="204"/>
    </font>
    <font>
      <b/>
      <i/>
      <sz val="16"/>
      <color theme="0" tint="-0.499984740745262"/>
      <name val="Calibri"/>
      <family val="2"/>
    </font>
    <font>
      <b/>
      <i/>
      <sz val="14"/>
      <color theme="0"/>
      <name val="Century Gothic"/>
      <family val="1"/>
    </font>
    <font>
      <sz val="12"/>
      <color theme="0"/>
      <name val="Century Gothic"/>
      <family val="1"/>
    </font>
    <font>
      <b/>
      <sz val="12"/>
      <color theme="0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94209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5" borderId="6" applyNumberFormat="0" applyFont="0" applyAlignment="0" applyProtection="0"/>
  </cellStyleXfs>
  <cellXfs count="336">
    <xf numFmtId="0" fontId="0" fillId="0" borderId="0" xfId="0"/>
    <xf numFmtId="17" fontId="0" fillId="0" borderId="0" xfId="0" applyNumberFormat="1"/>
    <xf numFmtId="10" fontId="0" fillId="0" borderId="0" xfId="2" applyNumberFormat="1" applyFont="1"/>
    <xf numFmtId="3" fontId="0" fillId="0" borderId="0" xfId="0" applyNumberFormat="1"/>
    <xf numFmtId="169" fontId="0" fillId="0" borderId="0" xfId="0" applyNumberFormat="1"/>
    <xf numFmtId="3" fontId="0" fillId="0" borderId="0" xfId="1" applyNumberFormat="1" applyFont="1" applyAlignment="1">
      <alignment horizontal="center"/>
    </xf>
    <xf numFmtId="9" fontId="0" fillId="0" borderId="0" xfId="2" applyFont="1"/>
    <xf numFmtId="0" fontId="4" fillId="0" borderId="0" xfId="0" applyFont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3" fontId="6" fillId="0" borderId="0" xfId="0" applyNumberFormat="1" applyFont="1" applyAlignment="1" applyProtection="1">
      <alignment horizontal="center" vertical="center"/>
      <protection hidden="1"/>
    </xf>
    <xf numFmtId="9" fontId="6" fillId="0" borderId="0" xfId="2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6" fillId="0" borderId="0" xfId="2" applyNumberFormat="1" applyFont="1" applyAlignment="1" applyProtection="1">
      <alignment horizontal="center" vertical="center"/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indent="1"/>
      <protection hidden="1"/>
    </xf>
    <xf numFmtId="3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9" fontId="9" fillId="0" borderId="1" xfId="2" applyFont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164" fontId="7" fillId="0" borderId="0" xfId="2" applyNumberFormat="1" applyFont="1" applyFill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7" fontId="5" fillId="4" borderId="0" xfId="0" applyNumberFormat="1" applyFont="1" applyFill="1" applyAlignment="1" applyProtection="1">
      <alignment horizontal="center"/>
      <protection hidden="1"/>
    </xf>
    <xf numFmtId="17" fontId="6" fillId="0" borderId="0" xfId="0" applyNumberFormat="1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9" fillId="0" borderId="1" xfId="0" applyFont="1" applyBorder="1" applyProtection="1">
      <protection hidden="1"/>
    </xf>
    <xf numFmtId="3" fontId="9" fillId="0" borderId="1" xfId="0" applyNumberFormat="1" applyFont="1" applyBorder="1" applyAlignment="1" applyProtection="1">
      <alignment horizontal="center"/>
      <protection hidden="1"/>
    </xf>
    <xf numFmtId="17" fontId="6" fillId="0" borderId="0" xfId="0" applyNumberFormat="1" applyFont="1" applyProtection="1"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164" fontId="6" fillId="0" borderId="0" xfId="2" applyNumberFormat="1" applyFont="1" applyAlignment="1" applyProtection="1">
      <alignment horizontal="center"/>
      <protection hidden="1"/>
    </xf>
    <xf numFmtId="0" fontId="6" fillId="0" borderId="0" xfId="3" applyFont="1" applyProtection="1">
      <protection hidden="1"/>
    </xf>
    <xf numFmtId="10" fontId="7" fillId="0" borderId="0" xfId="2" applyNumberFormat="1" applyFont="1" applyFill="1" applyAlignment="1" applyProtection="1">
      <alignment horizontal="center"/>
      <protection hidden="1"/>
    </xf>
    <xf numFmtId="9" fontId="7" fillId="0" borderId="0" xfId="2" applyFont="1" applyFill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3" fontId="6" fillId="0" borderId="0" xfId="3" applyNumberFormat="1" applyFont="1" applyAlignment="1" applyProtection="1">
      <alignment horizontal="center"/>
      <protection hidden="1"/>
    </xf>
    <xf numFmtId="3" fontId="10" fillId="0" borderId="1" xfId="0" applyNumberFormat="1" applyFont="1" applyBorder="1" applyAlignment="1" applyProtection="1">
      <alignment horizont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7" fontId="5" fillId="4" borderId="0" xfId="0" applyNumberFormat="1" applyFont="1" applyFill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164" fontId="6" fillId="0" borderId="0" xfId="4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3" fontId="11" fillId="0" borderId="0" xfId="0" applyNumberFormat="1" applyFont="1" applyAlignment="1" applyProtection="1">
      <alignment horizontal="center"/>
      <protection hidden="1"/>
    </xf>
    <xf numFmtId="17" fontId="15" fillId="0" borderId="0" xfId="3" applyNumberFormat="1" applyFont="1" applyAlignment="1" applyProtection="1">
      <alignment horizontal="left" vertical="center" indent="1"/>
      <protection hidden="1"/>
    </xf>
    <xf numFmtId="0" fontId="15" fillId="0" borderId="0" xfId="0" applyFont="1" applyProtection="1">
      <protection hidden="1"/>
    </xf>
    <xf numFmtId="17" fontId="17" fillId="0" borderId="0" xfId="3" applyNumberFormat="1" applyFont="1" applyAlignment="1" applyProtection="1">
      <alignment vertical="center"/>
      <protection hidden="1"/>
    </xf>
    <xf numFmtId="9" fontId="17" fillId="0" borderId="0" xfId="2" applyFont="1" applyProtection="1">
      <protection hidden="1"/>
    </xf>
    <xf numFmtId="0" fontId="17" fillId="0" borderId="0" xfId="0" applyFont="1" applyProtection="1">
      <protection hidden="1"/>
    </xf>
    <xf numFmtId="164" fontId="11" fillId="0" borderId="0" xfId="2" applyNumberFormat="1" applyFont="1" applyFill="1" applyBorder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3" fontId="10" fillId="0" borderId="1" xfId="0" applyNumberFormat="1" applyFont="1" applyBorder="1" applyAlignment="1" applyProtection="1">
      <alignment horizontal="right"/>
      <protection hidden="1"/>
    </xf>
    <xf numFmtId="17" fontId="11" fillId="0" borderId="0" xfId="3" applyNumberFormat="1" applyFont="1" applyAlignment="1" applyProtection="1">
      <alignment vertical="center"/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0" fontId="11" fillId="0" borderId="0" xfId="2" applyNumberFormat="1" applyFont="1" applyFill="1" applyBorder="1" applyAlignment="1" applyProtection="1">
      <alignment horizont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3" fontId="19" fillId="0" borderId="0" xfId="0" applyNumberFormat="1" applyFont="1" applyAlignment="1" applyProtection="1">
      <alignment horizontal="right"/>
      <protection hidden="1"/>
    </xf>
    <xf numFmtId="167" fontId="6" fillId="0" borderId="0" xfId="0" applyNumberFormat="1" applyFont="1" applyProtection="1">
      <protection hidden="1"/>
    </xf>
    <xf numFmtId="3" fontId="6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9" fontId="15" fillId="0" borderId="0" xfId="2" applyFont="1" applyProtection="1">
      <protection hidden="1"/>
    </xf>
    <xf numFmtId="9" fontId="16" fillId="0" borderId="0" xfId="2" applyFont="1" applyFill="1" applyAlignment="1" applyProtection="1">
      <alignment horizontal="center"/>
      <protection hidden="1"/>
    </xf>
    <xf numFmtId="164" fontId="15" fillId="0" borderId="0" xfId="2" applyNumberFormat="1" applyFont="1" applyFill="1" applyAlignment="1" applyProtection="1">
      <alignment horizontal="center"/>
      <protection hidden="1"/>
    </xf>
    <xf numFmtId="9" fontId="10" fillId="0" borderId="0" xfId="2" applyFont="1" applyBorder="1" applyAlignment="1" applyProtection="1">
      <alignment vertical="center"/>
      <protection hidden="1"/>
    </xf>
    <xf numFmtId="9" fontId="10" fillId="0" borderId="0" xfId="2" applyFont="1" applyProtection="1">
      <protection hidden="1"/>
    </xf>
    <xf numFmtId="10" fontId="10" fillId="0" borderId="0" xfId="2" applyNumberFormat="1" applyFont="1" applyFill="1" applyAlignment="1" applyProtection="1">
      <alignment horizontal="center"/>
      <protection hidden="1"/>
    </xf>
    <xf numFmtId="9" fontId="15" fillId="0" borderId="0" xfId="2" applyFont="1" applyBorder="1" applyAlignment="1" applyProtection="1">
      <alignment horizontal="left" vertical="center" indent="1"/>
      <protection hidden="1"/>
    </xf>
    <xf numFmtId="3" fontId="9" fillId="0" borderId="0" xfId="0" applyNumberFormat="1" applyFont="1" applyProtection="1">
      <protection hidden="1"/>
    </xf>
    <xf numFmtId="0" fontId="20" fillId="0" borderId="0" xfId="0" applyFont="1" applyAlignment="1" applyProtection="1">
      <alignment horizontal="left" indent="1"/>
      <protection hidden="1"/>
    </xf>
    <xf numFmtId="0" fontId="20" fillId="0" borderId="0" xfId="0" applyFont="1" applyProtection="1"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9" fontId="17" fillId="0" borderId="2" xfId="2" applyFont="1" applyFill="1" applyBorder="1" applyAlignment="1" applyProtection="1">
      <alignment horizontal="center"/>
      <protection hidden="1"/>
    </xf>
    <xf numFmtId="9" fontId="15" fillId="0" borderId="2" xfId="2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center"/>
      <protection hidden="1"/>
    </xf>
    <xf numFmtId="167" fontId="20" fillId="0" borderId="0" xfId="0" applyNumberFormat="1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9" fontId="6" fillId="0" borderId="0" xfId="2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6" fillId="0" borderId="0" xfId="0" applyFont="1" applyAlignment="1" applyProtection="1">
      <alignment horizontal="left" indent="1"/>
      <protection hidden="1"/>
    </xf>
    <xf numFmtId="167" fontId="6" fillId="0" borderId="0" xfId="0" applyNumberFormat="1" applyFont="1" applyAlignment="1" applyProtection="1">
      <alignment horizontal="center"/>
      <protection hidden="1"/>
    </xf>
    <xf numFmtId="0" fontId="9" fillId="0" borderId="8" xfId="0" applyFont="1" applyBorder="1" applyProtection="1">
      <protection hidden="1"/>
    </xf>
    <xf numFmtId="167" fontId="9" fillId="0" borderId="8" xfId="0" applyNumberFormat="1" applyFont="1" applyBorder="1" applyAlignment="1" applyProtection="1">
      <alignment horizontal="center"/>
      <protection hidden="1"/>
    </xf>
    <xf numFmtId="0" fontId="5" fillId="6" borderId="0" xfId="0" applyFont="1" applyFill="1" applyProtection="1">
      <protection hidden="1"/>
    </xf>
    <xf numFmtId="164" fontId="5" fillId="6" borderId="0" xfId="2" applyNumberFormat="1" applyFont="1" applyFill="1" applyAlignment="1" applyProtection="1">
      <alignment horizontal="center"/>
      <protection hidden="1"/>
    </xf>
    <xf numFmtId="164" fontId="6" fillId="0" borderId="0" xfId="2" applyNumberFormat="1" applyFont="1" applyFill="1" applyAlignment="1" applyProtection="1">
      <alignment horizontal="center"/>
      <protection hidden="1"/>
    </xf>
    <xf numFmtId="164" fontId="9" fillId="0" borderId="0" xfId="2" applyNumberFormat="1" applyFont="1" applyFill="1" applyBorder="1" applyAlignment="1" applyProtection="1">
      <alignment horizontal="center"/>
      <protection hidden="1"/>
    </xf>
    <xf numFmtId="1" fontId="13" fillId="0" borderId="0" xfId="0" applyNumberFormat="1" applyFont="1" applyAlignment="1" applyProtection="1">
      <alignment horizontal="center"/>
      <protection hidden="1"/>
    </xf>
    <xf numFmtId="17" fontId="5" fillId="4" borderId="0" xfId="0" applyNumberFormat="1" applyFont="1" applyFill="1" applyAlignment="1" applyProtection="1">
      <alignment horizontal="left" vertical="center"/>
      <protection hidden="1"/>
    </xf>
    <xf numFmtId="17" fontId="5" fillId="4" borderId="0" xfId="0" applyNumberFormat="1" applyFont="1" applyFill="1" applyAlignment="1" applyProtection="1">
      <alignment horizontal="center" vertical="center"/>
      <protection hidden="1"/>
    </xf>
    <xf numFmtId="166" fontId="5" fillId="4" borderId="0" xfId="1" applyNumberFormat="1" applyFont="1" applyFill="1" applyAlignment="1" applyProtection="1">
      <alignment horizontal="right" vertical="center"/>
      <protection hidden="1"/>
    </xf>
    <xf numFmtId="17" fontId="5" fillId="2" borderId="3" xfId="0" applyNumberFormat="1" applyFont="1" applyFill="1" applyBorder="1" applyAlignment="1" applyProtection="1">
      <alignment horizontal="center" vertical="center"/>
      <protection hidden="1"/>
    </xf>
    <xf numFmtId="17" fontId="5" fillId="2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3" fontId="5" fillId="2" borderId="0" xfId="0" applyNumberFormat="1" applyFont="1" applyFill="1" applyAlignment="1" applyProtection="1">
      <alignment horizontal="center"/>
      <protection hidden="1"/>
    </xf>
    <xf numFmtId="167" fontId="21" fillId="0" borderId="0" xfId="0" applyNumberFormat="1" applyFont="1" applyAlignment="1" applyProtection="1">
      <alignment horizontal="center"/>
      <protection hidden="1"/>
    </xf>
    <xf numFmtId="9" fontId="9" fillId="0" borderId="2" xfId="2" applyFont="1" applyFill="1" applyBorder="1" applyAlignment="1" applyProtection="1">
      <alignment horizontal="center"/>
      <protection hidden="1"/>
    </xf>
    <xf numFmtId="167" fontId="9" fillId="0" borderId="0" xfId="6" applyNumberFormat="1" applyFont="1" applyFill="1" applyBorder="1" applyAlignment="1" applyProtection="1">
      <alignment horizontal="center"/>
      <protection hidden="1"/>
    </xf>
    <xf numFmtId="164" fontId="15" fillId="0" borderId="0" xfId="2" applyNumberFormat="1" applyFont="1" applyFill="1" applyBorder="1" applyAlignment="1" applyProtection="1">
      <alignment horizontal="center"/>
      <protection hidden="1"/>
    </xf>
    <xf numFmtId="3" fontId="23" fillId="0" borderId="0" xfId="2" applyNumberFormat="1" applyFont="1" applyFill="1" applyBorder="1" applyAlignment="1" applyProtection="1">
      <alignment horizontal="center"/>
      <protection hidden="1"/>
    </xf>
    <xf numFmtId="164" fontId="23" fillId="0" borderId="0" xfId="2" applyNumberFormat="1" applyFont="1" applyFill="1" applyBorder="1" applyAlignment="1" applyProtection="1">
      <alignment horizontal="center"/>
      <protection hidden="1"/>
    </xf>
    <xf numFmtId="3" fontId="22" fillId="0" borderId="0" xfId="2" applyNumberFormat="1" applyFont="1" applyFill="1" applyBorder="1" applyAlignment="1" applyProtection="1">
      <alignment horizontal="center"/>
      <protection hidden="1"/>
    </xf>
    <xf numFmtId="167" fontId="23" fillId="0" borderId="0" xfId="0" applyNumberFormat="1" applyFont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center"/>
      <protection hidden="1"/>
    </xf>
    <xf numFmtId="9" fontId="13" fillId="5" borderId="9" xfId="6" applyNumberFormat="1" applyFont="1" applyBorder="1" applyAlignment="1" applyProtection="1">
      <alignment horizontal="center"/>
      <protection hidden="1"/>
    </xf>
    <xf numFmtId="167" fontId="23" fillId="5" borderId="9" xfId="6" applyNumberFormat="1" applyFont="1" applyBorder="1" applyAlignment="1" applyProtection="1">
      <alignment horizontal="center"/>
      <protection hidden="1"/>
    </xf>
    <xf numFmtId="43" fontId="6" fillId="0" borderId="0" xfId="1" applyFont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3" fontId="13" fillId="5" borderId="6" xfId="6" applyNumberFormat="1" applyFont="1" applyAlignment="1" applyProtection="1">
      <alignment horizontal="center"/>
      <protection hidden="1"/>
    </xf>
    <xf numFmtId="17" fontId="27" fillId="0" borderId="0" xfId="3" applyNumberFormat="1" applyFont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167" fontId="28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horizontal="left"/>
      <protection hidden="1"/>
    </xf>
    <xf numFmtId="167" fontId="25" fillId="0" borderId="0" xfId="0" applyNumberFormat="1" applyFont="1" applyAlignment="1" applyProtection="1">
      <alignment horizontal="center"/>
      <protection hidden="1"/>
    </xf>
    <xf numFmtId="164" fontId="26" fillId="0" borderId="0" xfId="0" applyNumberFormat="1" applyFont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left"/>
      <protection hidden="1"/>
    </xf>
    <xf numFmtId="164" fontId="13" fillId="0" borderId="1" xfId="0" applyNumberFormat="1" applyFont="1" applyBorder="1" applyAlignment="1" applyProtection="1">
      <alignment horizontal="center"/>
      <protection hidden="1"/>
    </xf>
    <xf numFmtId="164" fontId="5" fillId="6" borderId="0" xfId="0" applyNumberFormat="1" applyFont="1" applyFill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167" fontId="6" fillId="7" borderId="0" xfId="0" applyNumberFormat="1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164" fontId="7" fillId="7" borderId="0" xfId="0" applyNumberFormat="1" applyFont="1" applyFill="1" applyAlignment="1" applyProtection="1">
      <alignment horizontal="center"/>
      <protection hidden="1"/>
    </xf>
    <xf numFmtId="3" fontId="6" fillId="7" borderId="0" xfId="0" applyNumberFormat="1" applyFont="1" applyFill="1" applyAlignment="1" applyProtection="1">
      <alignment horizontal="center"/>
      <protection hidden="1"/>
    </xf>
    <xf numFmtId="164" fontId="5" fillId="7" borderId="0" xfId="2" applyNumberFormat="1" applyFont="1" applyFill="1" applyAlignment="1" applyProtection="1">
      <alignment horizontal="center"/>
      <protection hidden="1"/>
    </xf>
    <xf numFmtId="167" fontId="13" fillId="0" borderId="0" xfId="0" applyNumberFormat="1" applyFont="1" applyAlignment="1" applyProtection="1">
      <alignment horizontal="center"/>
      <protection hidden="1"/>
    </xf>
    <xf numFmtId="167" fontId="29" fillId="0" borderId="0" xfId="0" applyNumberFormat="1" applyFont="1" applyAlignment="1" applyProtection="1">
      <alignment horizontal="center"/>
      <protection hidden="1"/>
    </xf>
    <xf numFmtId="9" fontId="5" fillId="6" borderId="0" xfId="2" applyFont="1" applyFill="1" applyAlignment="1" applyProtection="1">
      <alignment horizontal="center"/>
      <protection hidden="1"/>
    </xf>
    <xf numFmtId="3" fontId="5" fillId="6" borderId="0" xfId="0" applyNumberFormat="1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171" fontId="6" fillId="0" borderId="0" xfId="2" applyNumberFormat="1" applyFont="1" applyAlignment="1" applyProtection="1">
      <alignment horizontal="center"/>
      <protection hidden="1"/>
    </xf>
    <xf numFmtId="165" fontId="5" fillId="6" borderId="0" xfId="0" applyNumberFormat="1" applyFont="1" applyFill="1" applyAlignment="1" applyProtection="1">
      <alignment horizontal="center"/>
      <protection hidden="1"/>
    </xf>
    <xf numFmtId="0" fontId="30" fillId="6" borderId="0" xfId="0" applyFont="1" applyFill="1" applyProtection="1">
      <protection hidden="1"/>
    </xf>
    <xf numFmtId="0" fontId="30" fillId="6" borderId="0" xfId="0" applyFont="1" applyFill="1" applyAlignment="1" applyProtection="1">
      <alignment horizontal="center"/>
      <protection hidden="1"/>
    </xf>
    <xf numFmtId="9" fontId="30" fillId="6" borderId="0" xfId="2" applyFont="1" applyFill="1" applyAlignment="1" applyProtection="1">
      <alignment horizontal="center"/>
      <protection hidden="1"/>
    </xf>
    <xf numFmtId="164" fontId="6" fillId="0" borderId="0" xfId="0" applyNumberFormat="1" applyFont="1" applyProtection="1">
      <protection hidden="1"/>
    </xf>
    <xf numFmtId="9" fontId="6" fillId="0" borderId="0" xfId="0" applyNumberFormat="1" applyFont="1" applyProtection="1">
      <protection hidden="1"/>
    </xf>
    <xf numFmtId="164" fontId="9" fillId="0" borderId="0" xfId="0" applyNumberFormat="1" applyFont="1" applyProtection="1">
      <protection hidden="1"/>
    </xf>
    <xf numFmtId="17" fontId="6" fillId="0" borderId="0" xfId="2" applyNumberFormat="1" applyFont="1" applyFill="1" applyAlignment="1" applyProtection="1">
      <alignment horizontal="center"/>
      <protection hidden="1"/>
    </xf>
    <xf numFmtId="164" fontId="23" fillId="0" borderId="0" xfId="2" applyNumberFormat="1" applyFont="1" applyAlignment="1" applyProtection="1">
      <alignment horizontal="center"/>
      <protection hidden="1"/>
    </xf>
    <xf numFmtId="164" fontId="22" fillId="5" borderId="9" xfId="2" applyNumberFormat="1" applyFont="1" applyFill="1" applyBorder="1" applyAlignment="1" applyProtection="1">
      <alignment horizontal="center"/>
      <protection hidden="1"/>
    </xf>
    <xf numFmtId="43" fontId="9" fillId="0" borderId="0" xfId="1" applyFont="1" applyAlignment="1" applyProtection="1">
      <alignment horizontal="center"/>
      <protection hidden="1"/>
    </xf>
    <xf numFmtId="43" fontId="9" fillId="0" borderId="0" xfId="1" applyFont="1" applyProtection="1">
      <protection hidden="1"/>
    </xf>
    <xf numFmtId="0" fontId="19" fillId="0" borderId="0" xfId="0" applyFont="1" applyProtection="1"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170" fontId="31" fillId="0" borderId="0" xfId="1" applyNumberFormat="1" applyFont="1" applyFill="1" applyAlignment="1" applyProtection="1">
      <alignment horizontal="center"/>
      <protection hidden="1"/>
    </xf>
    <xf numFmtId="0" fontId="32" fillId="0" borderId="0" xfId="3" applyFont="1" applyProtection="1">
      <protection hidden="1"/>
    </xf>
    <xf numFmtId="0" fontId="32" fillId="0" borderId="0" xfId="3" applyFont="1" applyAlignment="1" applyProtection="1">
      <alignment horizontal="center"/>
      <protection hidden="1"/>
    </xf>
    <xf numFmtId="0" fontId="33" fillId="0" borderId="10" xfId="3" applyFont="1" applyBorder="1" applyProtection="1">
      <protection hidden="1"/>
    </xf>
    <xf numFmtId="0" fontId="32" fillId="0" borderId="10" xfId="3" applyFont="1" applyBorder="1" applyAlignment="1" applyProtection="1">
      <alignment horizontal="center"/>
      <protection hidden="1"/>
    </xf>
    <xf numFmtId="0" fontId="32" fillId="0" borderId="10" xfId="3" applyFont="1" applyBorder="1" applyProtection="1">
      <protection hidden="1"/>
    </xf>
    <xf numFmtId="0" fontId="34" fillId="0" borderId="0" xfId="3" applyFont="1" applyProtection="1">
      <protection hidden="1"/>
    </xf>
    <xf numFmtId="0" fontId="35" fillId="4" borderId="0" xfId="3" applyFont="1" applyFill="1" applyProtection="1">
      <protection hidden="1"/>
    </xf>
    <xf numFmtId="0" fontId="35" fillId="4" borderId="0" xfId="3" applyFont="1" applyFill="1" applyAlignment="1" applyProtection="1">
      <alignment horizontal="center"/>
      <protection hidden="1"/>
    </xf>
    <xf numFmtId="0" fontId="35" fillId="0" borderId="0" xfId="3" applyFont="1" applyAlignment="1" applyProtection="1">
      <alignment horizontal="center"/>
      <protection hidden="1"/>
    </xf>
    <xf numFmtId="0" fontId="36" fillId="0" borderId="0" xfId="3" applyFont="1" applyProtection="1">
      <protection hidden="1"/>
    </xf>
    <xf numFmtId="0" fontId="37" fillId="0" borderId="0" xfId="3" applyFont="1" applyProtection="1">
      <protection hidden="1"/>
    </xf>
    <xf numFmtId="3" fontId="36" fillId="0" borderId="0" xfId="3" applyNumberFormat="1" applyFont="1" applyAlignment="1" applyProtection="1">
      <alignment horizontal="center"/>
      <protection hidden="1"/>
    </xf>
    <xf numFmtId="0" fontId="36" fillId="0" borderId="0" xfId="3" applyFont="1" applyAlignment="1" applyProtection="1">
      <alignment horizontal="center"/>
      <protection hidden="1"/>
    </xf>
    <xf numFmtId="3" fontId="37" fillId="0" borderId="0" xfId="3" applyNumberFormat="1" applyFont="1" applyAlignment="1" applyProtection="1">
      <alignment horizontal="center"/>
      <protection hidden="1"/>
    </xf>
    <xf numFmtId="3" fontId="38" fillId="0" borderId="0" xfId="3" applyNumberFormat="1" applyFont="1" applyAlignment="1" applyProtection="1">
      <alignment horizontal="left"/>
      <protection hidden="1"/>
    </xf>
    <xf numFmtId="0" fontId="39" fillId="0" borderId="0" xfId="3" applyFont="1" applyProtection="1">
      <protection hidden="1"/>
    </xf>
    <xf numFmtId="0" fontId="39" fillId="0" borderId="0" xfId="3" quotePrefix="1" applyFont="1" applyAlignment="1" applyProtection="1">
      <alignment horizontal="center"/>
      <protection hidden="1"/>
    </xf>
    <xf numFmtId="172" fontId="39" fillId="0" borderId="0" xfId="3" applyNumberFormat="1" applyFont="1" applyAlignment="1" applyProtection="1">
      <alignment horizontal="center"/>
      <protection hidden="1"/>
    </xf>
    <xf numFmtId="1" fontId="40" fillId="0" borderId="0" xfId="3" applyNumberFormat="1" applyFont="1" applyAlignment="1" applyProtection="1">
      <alignment horizontal="right"/>
      <protection hidden="1"/>
    </xf>
    <xf numFmtId="14" fontId="40" fillId="0" borderId="0" xfId="3" applyNumberFormat="1" applyFont="1" applyProtection="1">
      <protection hidden="1"/>
    </xf>
    <xf numFmtId="166" fontId="40" fillId="0" borderId="0" xfId="1" applyNumberFormat="1" applyFont="1" applyProtection="1">
      <protection hidden="1"/>
    </xf>
    <xf numFmtId="14" fontId="36" fillId="0" borderId="0" xfId="3" applyNumberFormat="1" applyFont="1" applyProtection="1">
      <protection hidden="1"/>
    </xf>
    <xf numFmtId="3" fontId="38" fillId="0" borderId="11" xfId="3" applyNumberFormat="1" applyFont="1" applyBorder="1" applyAlignment="1" applyProtection="1">
      <alignment horizontal="center"/>
      <protection locked="0"/>
    </xf>
    <xf numFmtId="3" fontId="38" fillId="0" borderId="11" xfId="3" applyNumberFormat="1" applyFont="1" applyBorder="1" applyAlignment="1" applyProtection="1">
      <alignment horizontal="center" vertical="center"/>
      <protection locked="0"/>
    </xf>
    <xf numFmtId="0" fontId="36" fillId="0" borderId="0" xfId="3" quotePrefix="1" applyFont="1" applyAlignment="1" applyProtection="1">
      <alignment horizontal="center"/>
      <protection hidden="1"/>
    </xf>
    <xf numFmtId="164" fontId="37" fillId="0" borderId="0" xfId="4" applyNumberFormat="1" applyFont="1" applyAlignment="1" applyProtection="1">
      <alignment horizontal="center"/>
      <protection hidden="1"/>
    </xf>
    <xf numFmtId="3" fontId="37" fillId="0" borderId="0" xfId="3" applyNumberFormat="1" applyFont="1" applyAlignment="1" applyProtection="1">
      <alignment horizontal="left"/>
      <protection hidden="1"/>
    </xf>
    <xf numFmtId="173" fontId="36" fillId="0" borderId="0" xfId="5" applyNumberFormat="1" applyFont="1" applyProtection="1">
      <protection hidden="1"/>
    </xf>
    <xf numFmtId="174" fontId="36" fillId="0" borderId="0" xfId="5" applyNumberFormat="1" applyFont="1" applyProtection="1">
      <protection hidden="1"/>
    </xf>
    <xf numFmtId="174" fontId="36" fillId="0" borderId="0" xfId="3" applyNumberFormat="1" applyFont="1" applyProtection="1">
      <protection hidden="1"/>
    </xf>
    <xf numFmtId="0" fontId="42" fillId="0" borderId="0" xfId="3" applyFont="1" applyProtection="1">
      <protection hidden="1"/>
    </xf>
    <xf numFmtId="0" fontId="42" fillId="0" borderId="0" xfId="3" applyFont="1" applyAlignment="1" applyProtection="1">
      <alignment horizontal="center"/>
      <protection hidden="1"/>
    </xf>
    <xf numFmtId="3" fontId="42" fillId="0" borderId="0" xfId="3" applyNumberFormat="1" applyFont="1" applyAlignment="1" applyProtection="1">
      <alignment horizontal="center"/>
      <protection hidden="1"/>
    </xf>
    <xf numFmtId="3" fontId="39" fillId="0" borderId="10" xfId="3" applyNumberFormat="1" applyFont="1" applyBorder="1" applyAlignment="1" applyProtection="1">
      <alignment horizontal="left"/>
      <protection hidden="1"/>
    </xf>
    <xf numFmtId="3" fontId="39" fillId="0" borderId="10" xfId="3" quotePrefix="1" applyNumberFormat="1" applyFont="1" applyBorder="1" applyAlignment="1" applyProtection="1">
      <alignment horizontal="center"/>
      <protection hidden="1"/>
    </xf>
    <xf numFmtId="10" fontId="39" fillId="0" borderId="10" xfId="2" applyNumberFormat="1" applyFont="1" applyBorder="1" applyAlignment="1" applyProtection="1">
      <alignment horizontal="center"/>
      <protection hidden="1"/>
    </xf>
    <xf numFmtId="3" fontId="43" fillId="0" borderId="10" xfId="3" applyNumberFormat="1" applyFont="1" applyBorder="1" applyAlignment="1" applyProtection="1">
      <alignment horizontal="left"/>
      <protection hidden="1"/>
    </xf>
    <xf numFmtId="3" fontId="43" fillId="0" borderId="10" xfId="3" applyNumberFormat="1" applyFont="1" applyBorder="1" applyAlignment="1" applyProtection="1">
      <alignment horizontal="center"/>
      <protection hidden="1"/>
    </xf>
    <xf numFmtId="10" fontId="36" fillId="0" borderId="0" xfId="4" applyNumberFormat="1" applyFont="1" applyProtection="1">
      <protection hidden="1"/>
    </xf>
    <xf numFmtId="3" fontId="43" fillId="0" borderId="0" xfId="3" applyNumberFormat="1" applyFont="1" applyAlignment="1" applyProtection="1">
      <alignment horizontal="left"/>
      <protection hidden="1"/>
    </xf>
    <xf numFmtId="3" fontId="43" fillId="0" borderId="0" xfId="3" applyNumberFormat="1" applyFont="1" applyAlignment="1" applyProtection="1">
      <alignment horizontal="center"/>
      <protection hidden="1"/>
    </xf>
    <xf numFmtId="3" fontId="40" fillId="0" borderId="0" xfId="3" applyNumberFormat="1" applyFont="1" applyAlignment="1" applyProtection="1">
      <alignment horizontal="center"/>
      <protection hidden="1"/>
    </xf>
    <xf numFmtId="0" fontId="35" fillId="6" borderId="0" xfId="3" applyFont="1" applyFill="1" applyProtection="1">
      <protection hidden="1"/>
    </xf>
    <xf numFmtId="3" fontId="36" fillId="0" borderId="0" xfId="3" applyNumberFormat="1" applyFont="1" applyProtection="1">
      <protection hidden="1"/>
    </xf>
    <xf numFmtId="0" fontId="35" fillId="6" borderId="0" xfId="3" applyFont="1" applyFill="1" applyAlignment="1" applyProtection="1">
      <alignment horizontal="center"/>
      <protection hidden="1"/>
    </xf>
    <xf numFmtId="3" fontId="32" fillId="0" borderId="0" xfId="3" applyNumberFormat="1" applyFont="1" applyProtection="1">
      <protection hidden="1"/>
    </xf>
    <xf numFmtId="3" fontId="32" fillId="0" borderId="0" xfId="3" applyNumberFormat="1" applyFont="1" applyAlignment="1" applyProtection="1">
      <alignment horizontal="center"/>
      <protection hidden="1"/>
    </xf>
    <xf numFmtId="17" fontId="36" fillId="0" borderId="0" xfId="3" applyNumberFormat="1" applyFont="1" applyAlignment="1" applyProtection="1">
      <alignment horizontal="center"/>
      <protection hidden="1"/>
    </xf>
    <xf numFmtId="0" fontId="45" fillId="0" borderId="0" xfId="0" applyFont="1" applyProtection="1">
      <protection hidden="1"/>
    </xf>
    <xf numFmtId="9" fontId="45" fillId="0" borderId="0" xfId="2" applyFont="1" applyFill="1" applyProtection="1">
      <protection hidden="1"/>
    </xf>
    <xf numFmtId="9" fontId="45" fillId="0" borderId="0" xfId="2" applyFont="1" applyFill="1" applyAlignment="1" applyProtection="1">
      <alignment horizontal="center"/>
      <protection hidden="1"/>
    </xf>
    <xf numFmtId="164" fontId="45" fillId="0" borderId="0" xfId="2" applyNumberFormat="1" applyFont="1" applyFill="1" applyAlignment="1" applyProtection="1">
      <alignment horizontal="center"/>
      <protection hidden="1"/>
    </xf>
    <xf numFmtId="0" fontId="44" fillId="0" borderId="0" xfId="0" applyFont="1" applyProtection="1">
      <protection hidden="1"/>
    </xf>
    <xf numFmtId="3" fontId="45" fillId="0" borderId="0" xfId="2" applyNumberFormat="1" applyFont="1" applyFill="1" applyAlignment="1" applyProtection="1">
      <alignment horizontal="center"/>
      <protection hidden="1"/>
    </xf>
    <xf numFmtId="0" fontId="45" fillId="0" borderId="0" xfId="0" applyFont="1" applyAlignment="1" applyProtection="1">
      <alignment horizontal="left" indent="2"/>
      <protection hidden="1"/>
    </xf>
    <xf numFmtId="17" fontId="45" fillId="0" borderId="0" xfId="3" applyNumberFormat="1" applyFont="1" applyAlignment="1" applyProtection="1">
      <alignment horizontal="left" vertical="center" indent="2"/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alignment horizontal="left" indent="4"/>
      <protection hidden="1"/>
    </xf>
    <xf numFmtId="9" fontId="46" fillId="0" borderId="0" xfId="2" applyFont="1" applyFill="1" applyProtection="1">
      <protection hidden="1"/>
    </xf>
    <xf numFmtId="9" fontId="46" fillId="0" borderId="0" xfId="2" applyFont="1" applyFill="1" applyAlignment="1" applyProtection="1">
      <alignment horizontal="center"/>
      <protection hidden="1"/>
    </xf>
    <xf numFmtId="164" fontId="36" fillId="0" borderId="0" xfId="2" applyNumberFormat="1" applyFont="1" applyProtection="1">
      <protection hidden="1"/>
    </xf>
    <xf numFmtId="9" fontId="9" fillId="0" borderId="0" xfId="2" applyFont="1" applyProtection="1">
      <protection hidden="1"/>
    </xf>
    <xf numFmtId="164" fontId="9" fillId="0" borderId="0" xfId="2" applyNumberFormat="1" applyFont="1" applyProtection="1"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vertical="center"/>
      <protection hidden="1"/>
    </xf>
    <xf numFmtId="0" fontId="48" fillId="0" borderId="0" xfId="0" applyFont="1" applyProtection="1">
      <protection hidden="1"/>
    </xf>
    <xf numFmtId="167" fontId="49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51" fillId="0" borderId="0" xfId="0" applyFont="1" applyAlignment="1" applyProtection="1">
      <alignment horizontal="center"/>
      <protection hidden="1"/>
    </xf>
    <xf numFmtId="17" fontId="52" fillId="4" borderId="0" xfId="0" applyNumberFormat="1" applyFont="1" applyFill="1" applyAlignment="1" applyProtection="1">
      <alignment horizontal="left" vertical="center"/>
      <protection hidden="1"/>
    </xf>
    <xf numFmtId="17" fontId="52" fillId="4" borderId="0" xfId="0" applyNumberFormat="1" applyFont="1" applyFill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horizontal="center"/>
      <protection hidden="1"/>
    </xf>
    <xf numFmtId="3" fontId="53" fillId="0" borderId="1" xfId="0" applyNumberFormat="1" applyFont="1" applyBorder="1" applyAlignment="1" applyProtection="1">
      <alignment horizontal="left"/>
      <protection hidden="1"/>
    </xf>
    <xf numFmtId="3" fontId="53" fillId="0" borderId="1" xfId="0" applyNumberFormat="1" applyFont="1" applyBorder="1" applyAlignment="1" applyProtection="1">
      <alignment horizontal="center"/>
      <protection hidden="1"/>
    </xf>
    <xf numFmtId="9" fontId="54" fillId="0" borderId="0" xfId="2" applyFont="1" applyProtection="1">
      <protection hidden="1"/>
    </xf>
    <xf numFmtId="164" fontId="54" fillId="0" borderId="0" xfId="2" applyNumberFormat="1" applyFont="1" applyAlignment="1" applyProtection="1">
      <alignment horizontal="center"/>
      <protection hidden="1"/>
    </xf>
    <xf numFmtId="17" fontId="47" fillId="0" borderId="0" xfId="0" applyNumberFormat="1" applyFont="1" applyProtection="1">
      <protection hidden="1"/>
    </xf>
    <xf numFmtId="167" fontId="53" fillId="0" borderId="1" xfId="0" applyNumberFormat="1" applyFont="1" applyBorder="1" applyAlignment="1" applyProtection="1">
      <alignment horizontal="left"/>
      <protection hidden="1"/>
    </xf>
    <xf numFmtId="167" fontId="53" fillId="0" borderId="1" xfId="0" applyNumberFormat="1" applyFont="1" applyBorder="1" applyAlignment="1" applyProtection="1">
      <alignment horizontal="center"/>
      <protection hidden="1"/>
    </xf>
    <xf numFmtId="167" fontId="47" fillId="0" borderId="0" xfId="0" applyNumberFormat="1" applyFont="1" applyProtection="1">
      <protection hidden="1"/>
    </xf>
    <xf numFmtId="164" fontId="55" fillId="0" borderId="0" xfId="0" applyNumberFormat="1" applyFont="1" applyAlignment="1" applyProtection="1">
      <alignment horizontal="center"/>
      <protection hidden="1"/>
    </xf>
    <xf numFmtId="164" fontId="55" fillId="0" borderId="0" xfId="2" applyNumberFormat="1" applyFont="1" applyAlignment="1" applyProtection="1">
      <alignment horizontal="center"/>
      <protection hidden="1"/>
    </xf>
    <xf numFmtId="17" fontId="56" fillId="0" borderId="0" xfId="0" applyNumberFormat="1" applyFont="1" applyProtection="1">
      <protection hidden="1"/>
    </xf>
    <xf numFmtId="167" fontId="57" fillId="0" borderId="0" xfId="0" applyNumberFormat="1" applyFont="1" applyAlignment="1" applyProtection="1">
      <alignment horizontal="center"/>
      <protection hidden="1"/>
    </xf>
    <xf numFmtId="9" fontId="58" fillId="0" borderId="0" xfId="2" applyFont="1" applyFill="1" applyProtection="1">
      <protection hidden="1"/>
    </xf>
    <xf numFmtId="164" fontId="58" fillId="0" borderId="0" xfId="2" applyNumberFormat="1" applyFont="1" applyFill="1" applyAlignment="1" applyProtection="1">
      <alignment horizontal="center"/>
      <protection hidden="1"/>
    </xf>
    <xf numFmtId="9" fontId="59" fillId="0" borderId="0" xfId="2" applyFont="1" applyProtection="1">
      <protection hidden="1"/>
    </xf>
    <xf numFmtId="3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/>
      <protection hidden="1"/>
    </xf>
    <xf numFmtId="3" fontId="6" fillId="0" borderId="2" xfId="0" applyNumberFormat="1" applyFont="1" applyBorder="1" applyAlignment="1" applyProtection="1">
      <alignment horizontal="center"/>
      <protection hidden="1"/>
    </xf>
    <xf numFmtId="3" fontId="23" fillId="0" borderId="5" xfId="0" applyNumberFormat="1" applyFont="1" applyBorder="1" applyAlignment="1" applyProtection="1">
      <alignment horizontal="center"/>
      <protection hidden="1"/>
    </xf>
    <xf numFmtId="3" fontId="22" fillId="0" borderId="3" xfId="0" applyNumberFormat="1" applyFont="1" applyBorder="1" applyAlignment="1" applyProtection="1">
      <alignment horizontal="center"/>
      <protection hidden="1"/>
    </xf>
    <xf numFmtId="3" fontId="22" fillId="0" borderId="1" xfId="0" applyNumberFormat="1" applyFont="1" applyBorder="1" applyAlignment="1" applyProtection="1">
      <alignment horizont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9" fontId="23" fillId="0" borderId="2" xfId="2" applyFont="1" applyFill="1" applyBorder="1" applyAlignment="1" applyProtection="1">
      <alignment horizontal="center"/>
      <protection hidden="1"/>
    </xf>
    <xf numFmtId="164" fontId="24" fillId="0" borderId="0" xfId="2" applyNumberFormat="1" applyFont="1" applyFill="1" applyAlignment="1" applyProtection="1">
      <alignment horizontal="center"/>
      <protection hidden="1"/>
    </xf>
    <xf numFmtId="167" fontId="11" fillId="0" borderId="7" xfId="6" applyNumberFormat="1" applyFont="1" applyFill="1" applyBorder="1" applyAlignment="1" applyProtection="1">
      <alignment horizontal="center"/>
      <protection hidden="1"/>
    </xf>
    <xf numFmtId="170" fontId="24" fillId="0" borderId="2" xfId="1" applyNumberFormat="1" applyFont="1" applyFill="1" applyBorder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67" fontId="23" fillId="0" borderId="2" xfId="0" applyNumberFormat="1" applyFont="1" applyBorder="1" applyAlignment="1" applyProtection="1">
      <alignment horizontal="center"/>
      <protection hidden="1"/>
    </xf>
    <xf numFmtId="167" fontId="22" fillId="0" borderId="1" xfId="0" applyNumberFormat="1" applyFont="1" applyBorder="1" applyAlignment="1" applyProtection="1">
      <alignment horizontal="center"/>
      <protection hidden="1"/>
    </xf>
    <xf numFmtId="167" fontId="10" fillId="0" borderId="7" xfId="6" applyNumberFormat="1" applyFont="1" applyFill="1" applyBorder="1" applyAlignment="1" applyProtection="1">
      <alignment horizontal="center"/>
      <protection hidden="1"/>
    </xf>
    <xf numFmtId="3" fontId="16" fillId="0" borderId="0" xfId="0" applyNumberFormat="1" applyFont="1" applyAlignment="1" applyProtection="1">
      <alignment horizontal="center"/>
      <protection hidden="1"/>
    </xf>
    <xf numFmtId="167" fontId="22" fillId="0" borderId="3" xfId="0" applyNumberFormat="1" applyFont="1" applyBorder="1" applyAlignment="1" applyProtection="1">
      <alignment horizontal="center"/>
      <protection hidden="1"/>
    </xf>
    <xf numFmtId="167" fontId="27" fillId="0" borderId="0" xfId="0" applyNumberFormat="1" applyFont="1" applyAlignment="1" applyProtection="1">
      <alignment horizontal="center"/>
      <protection hidden="1"/>
    </xf>
    <xf numFmtId="167" fontId="22" fillId="0" borderId="0" xfId="0" applyNumberFormat="1" applyFont="1" applyAlignment="1" applyProtection="1">
      <alignment horizontal="center"/>
      <protection hidden="1"/>
    </xf>
    <xf numFmtId="167" fontId="22" fillId="0" borderId="2" xfId="0" applyNumberFormat="1" applyFont="1" applyBorder="1" applyAlignment="1" applyProtection="1">
      <alignment horizontal="center"/>
      <protection hidden="1"/>
    </xf>
    <xf numFmtId="9" fontId="23" fillId="0" borderId="0" xfId="2" applyFont="1" applyFill="1" applyAlignment="1" applyProtection="1">
      <alignment horizontal="center"/>
      <protection hidden="1"/>
    </xf>
    <xf numFmtId="164" fontId="23" fillId="0" borderId="0" xfId="2" applyNumberFormat="1" applyFont="1" applyFill="1" applyAlignment="1" applyProtection="1">
      <alignment horizontal="center"/>
      <protection hidden="1"/>
    </xf>
    <xf numFmtId="167" fontId="10" fillId="0" borderId="3" xfId="0" applyNumberFormat="1" applyFont="1" applyBorder="1" applyAlignment="1" applyProtection="1">
      <alignment horizontal="center"/>
      <protection hidden="1"/>
    </xf>
    <xf numFmtId="167" fontId="9" fillId="0" borderId="9" xfId="6" applyNumberFormat="1" applyFont="1" applyFill="1" applyBorder="1" applyAlignment="1" applyProtection="1">
      <alignment horizontal="center"/>
      <protection hidden="1"/>
    </xf>
    <xf numFmtId="3" fontId="9" fillId="0" borderId="2" xfId="6" applyNumberFormat="1" applyFont="1" applyFill="1" applyBorder="1" applyAlignment="1" applyProtection="1">
      <alignment horizontal="center"/>
      <protection hidden="1"/>
    </xf>
    <xf numFmtId="3" fontId="11" fillId="0" borderId="2" xfId="0" applyNumberFormat="1" applyFont="1" applyBorder="1" applyAlignment="1" applyProtection="1">
      <alignment horizontal="center"/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3" fontId="45" fillId="0" borderId="0" xfId="0" applyNumberFormat="1" applyFont="1" applyAlignment="1" applyProtection="1">
      <alignment horizontal="center"/>
      <protection hidden="1"/>
    </xf>
    <xf numFmtId="3" fontId="45" fillId="0" borderId="2" xfId="0" applyNumberFormat="1" applyFont="1" applyBorder="1" applyAlignment="1" applyProtection="1">
      <alignment horizontal="center"/>
      <protection hidden="1"/>
    </xf>
    <xf numFmtId="167" fontId="45" fillId="0" borderId="0" xfId="0" applyNumberFormat="1" applyFont="1" applyAlignment="1" applyProtection="1">
      <alignment horizontal="center"/>
      <protection hidden="1"/>
    </xf>
    <xf numFmtId="164" fontId="45" fillId="0" borderId="2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3" fontId="13" fillId="0" borderId="1" xfId="0" applyNumberFormat="1" applyFont="1" applyBorder="1" applyAlignment="1" applyProtection="1">
      <alignment horizontal="center"/>
      <protection hidden="1"/>
    </xf>
    <xf numFmtId="167" fontId="9" fillId="0" borderId="0" xfId="0" applyNumberFormat="1" applyFont="1" applyAlignment="1" applyProtection="1">
      <alignment horizontal="center"/>
      <protection hidden="1"/>
    </xf>
    <xf numFmtId="164" fontId="9" fillId="0" borderId="0" xfId="2" applyNumberFormat="1" applyFont="1" applyFill="1" applyAlignment="1" applyProtection="1">
      <alignment horizontal="center"/>
      <protection hidden="1"/>
    </xf>
    <xf numFmtId="3" fontId="31" fillId="0" borderId="2" xfId="0" applyNumberFormat="1" applyFont="1" applyBorder="1" applyAlignment="1" applyProtection="1">
      <alignment horizontal="center"/>
      <protection hidden="1"/>
    </xf>
    <xf numFmtId="167" fontId="11" fillId="0" borderId="2" xfId="0" applyNumberFormat="1" applyFont="1" applyBorder="1" applyAlignment="1" applyProtection="1">
      <alignment horizontal="center"/>
      <protection hidden="1"/>
    </xf>
    <xf numFmtId="3" fontId="9" fillId="0" borderId="2" xfId="0" applyNumberFormat="1" applyFont="1" applyBorder="1" applyAlignment="1" applyProtection="1">
      <alignment horizontal="center"/>
      <protection hidden="1"/>
    </xf>
    <xf numFmtId="167" fontId="60" fillId="0" borderId="0" xfId="0" applyNumberFormat="1" applyFont="1" applyAlignment="1" applyProtection="1">
      <alignment horizontal="center"/>
      <protection hidden="1"/>
    </xf>
    <xf numFmtId="167" fontId="60" fillId="0" borderId="2" xfId="0" applyNumberFormat="1" applyFont="1" applyBorder="1" applyAlignment="1" applyProtection="1">
      <alignment horizontal="center"/>
      <protection hidden="1"/>
    </xf>
    <xf numFmtId="167" fontId="61" fillId="0" borderId="2" xfId="1" applyNumberFormat="1" applyFont="1" applyFill="1" applyBorder="1" applyAlignment="1" applyProtection="1">
      <alignment horizontal="center"/>
      <protection hidden="1"/>
    </xf>
    <xf numFmtId="167" fontId="61" fillId="0" borderId="0" xfId="0" applyNumberFormat="1" applyFont="1" applyAlignment="1" applyProtection="1">
      <alignment horizontal="center" vertical="center"/>
      <protection hidden="1"/>
    </xf>
    <xf numFmtId="167" fontId="62" fillId="0" borderId="2" xfId="0" applyNumberFormat="1" applyFont="1" applyBorder="1" applyAlignment="1" applyProtection="1">
      <alignment horizontal="center"/>
      <protection hidden="1"/>
    </xf>
    <xf numFmtId="167" fontId="9" fillId="0" borderId="3" xfId="0" applyNumberFormat="1" applyFont="1" applyBorder="1" applyAlignment="1" applyProtection="1">
      <alignment horizontal="center"/>
      <protection hidden="1"/>
    </xf>
    <xf numFmtId="9" fontId="6" fillId="0" borderId="2" xfId="2" applyFont="1" applyFill="1" applyBorder="1" applyAlignment="1" applyProtection="1">
      <alignment horizontal="center"/>
      <protection hidden="1"/>
    </xf>
    <xf numFmtId="164" fontId="8" fillId="0" borderId="0" xfId="2" applyNumberFormat="1" applyFont="1" applyFill="1" applyAlignment="1" applyProtection="1">
      <alignment horizontal="center"/>
      <protection hidden="1"/>
    </xf>
    <xf numFmtId="43" fontId="8" fillId="0" borderId="0" xfId="1" applyFont="1" applyFill="1" applyAlignment="1" applyProtection="1">
      <alignment horizontal="center"/>
      <protection hidden="1"/>
    </xf>
    <xf numFmtId="166" fontId="8" fillId="0" borderId="0" xfId="1" applyNumberFormat="1" applyFont="1" applyFill="1" applyAlignment="1" applyProtection="1">
      <alignment horizontal="center"/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9" fontId="8" fillId="0" borderId="2" xfId="2" applyFont="1" applyFill="1" applyBorder="1" applyAlignment="1" applyProtection="1">
      <alignment horizontal="center"/>
      <protection hidden="1"/>
    </xf>
    <xf numFmtId="164" fontId="8" fillId="0" borderId="0" xfId="2" applyNumberFormat="1" applyFont="1" applyFill="1" applyBorder="1" applyAlignment="1" applyProtection="1">
      <alignment horizontal="center"/>
      <protection hidden="1"/>
    </xf>
    <xf numFmtId="3" fontId="9" fillId="0" borderId="3" xfId="0" applyNumberFormat="1" applyFont="1" applyBorder="1" applyAlignment="1" applyProtection="1">
      <alignment horizontal="center"/>
      <protection hidden="1"/>
    </xf>
    <xf numFmtId="17" fontId="63" fillId="0" borderId="0" xfId="3" applyNumberFormat="1" applyFont="1" applyAlignment="1" applyProtection="1">
      <alignment vertical="center"/>
      <protection hidden="1"/>
    </xf>
    <xf numFmtId="0" fontId="63" fillId="0" borderId="0" xfId="0" applyFont="1" applyProtection="1">
      <protection hidden="1"/>
    </xf>
    <xf numFmtId="9" fontId="64" fillId="0" borderId="2" xfId="2" applyFont="1" applyFill="1" applyBorder="1" applyAlignment="1" applyProtection="1">
      <alignment horizontal="center"/>
      <protection hidden="1"/>
    </xf>
    <xf numFmtId="9" fontId="64" fillId="0" borderId="0" xfId="2" applyFont="1" applyFill="1" applyAlignment="1" applyProtection="1">
      <alignment horizontal="center"/>
      <protection hidden="1"/>
    </xf>
    <xf numFmtId="17" fontId="63" fillId="0" borderId="0" xfId="3" applyNumberFormat="1" applyFont="1" applyAlignment="1" applyProtection="1">
      <alignment horizontal="left" vertical="center" indent="1"/>
      <protection hidden="1"/>
    </xf>
    <xf numFmtId="9" fontId="64" fillId="0" borderId="4" xfId="2" applyFont="1" applyFill="1" applyBorder="1" applyAlignment="1" applyProtection="1">
      <alignment horizontal="center"/>
      <protection hidden="1"/>
    </xf>
    <xf numFmtId="3" fontId="65" fillId="0" borderId="0" xfId="0" applyNumberFormat="1" applyFont="1" applyAlignment="1" applyProtection="1">
      <alignment horizontal="center"/>
      <protection hidden="1"/>
    </xf>
    <xf numFmtId="0" fontId="40" fillId="0" borderId="0" xfId="3" applyFont="1" applyFill="1" applyBorder="1" applyProtection="1">
      <protection hidden="1"/>
    </xf>
    <xf numFmtId="0" fontId="40" fillId="0" borderId="0" xfId="3" applyFont="1" applyFill="1" applyBorder="1" applyAlignment="1" applyProtection="1">
      <alignment horizontal="center"/>
      <protection hidden="1"/>
    </xf>
    <xf numFmtId="14" fontId="40" fillId="0" borderId="0" xfId="3" applyNumberFormat="1" applyFont="1" applyFill="1" applyBorder="1" applyAlignment="1" applyProtection="1">
      <alignment horizontal="center"/>
      <protection hidden="1"/>
    </xf>
    <xf numFmtId="3" fontId="40" fillId="0" borderId="0" xfId="3" applyNumberFormat="1" applyFont="1" applyFill="1" applyBorder="1" applyAlignment="1" applyProtection="1">
      <alignment horizontal="center"/>
      <protection hidden="1"/>
    </xf>
    <xf numFmtId="3" fontId="35" fillId="0" borderId="0" xfId="3" applyNumberFormat="1" applyFont="1" applyFill="1" applyBorder="1" applyAlignment="1" applyProtection="1">
      <alignment horizontal="left"/>
      <protection hidden="1"/>
    </xf>
    <xf numFmtId="3" fontId="35" fillId="0" borderId="0" xfId="3" applyNumberFormat="1" applyFont="1" applyFill="1" applyBorder="1" applyAlignment="1" applyProtection="1">
      <alignment horizontal="center"/>
      <protection hidden="1"/>
    </xf>
    <xf numFmtId="0" fontId="35" fillId="0" borderId="0" xfId="3" applyFont="1" applyFill="1" applyBorder="1" applyProtection="1">
      <protection hidden="1"/>
    </xf>
    <xf numFmtId="0" fontId="35" fillId="0" borderId="0" xfId="3" applyFont="1" applyFill="1" applyBorder="1" applyAlignment="1" applyProtection="1">
      <alignment horizontal="center"/>
      <protection hidden="1"/>
    </xf>
    <xf numFmtId="17" fontId="35" fillId="0" borderId="0" xfId="3" applyNumberFormat="1" applyFont="1" applyFill="1" applyBorder="1" applyAlignment="1" applyProtection="1">
      <alignment horizontal="center"/>
      <protection hidden="1"/>
    </xf>
    <xf numFmtId="167" fontId="35" fillId="0" borderId="0" xfId="3" applyNumberFormat="1" applyFont="1" applyFill="1" applyBorder="1" applyAlignment="1" applyProtection="1">
      <alignment horizontal="center"/>
      <protection hidden="1"/>
    </xf>
    <xf numFmtId="0" fontId="66" fillId="0" borderId="0" xfId="3" applyFont="1" applyFill="1" applyBorder="1" applyProtection="1">
      <protection hidden="1"/>
    </xf>
    <xf numFmtId="0" fontId="66" fillId="0" borderId="0" xfId="3" applyFont="1" applyFill="1" applyBorder="1" applyAlignment="1" applyProtection="1">
      <alignment horizontal="center"/>
      <protection hidden="1"/>
    </xf>
    <xf numFmtId="164" fontId="66" fillId="0" borderId="0" xfId="2" applyNumberFormat="1" applyFont="1" applyFill="1" applyBorder="1" applyAlignment="1" applyProtection="1">
      <alignment horizontal="center"/>
      <protection hidden="1"/>
    </xf>
    <xf numFmtId="167" fontId="40" fillId="0" borderId="0" xfId="3" applyNumberFormat="1" applyFont="1" applyFill="1" applyBorder="1" applyAlignment="1" applyProtection="1">
      <alignment horizontal="center"/>
      <protection hidden="1"/>
    </xf>
    <xf numFmtId="14" fontId="35" fillId="0" borderId="0" xfId="3" applyNumberFormat="1" applyFont="1" applyFill="1" applyBorder="1" applyAlignment="1" applyProtection="1">
      <alignment horizontal="center"/>
      <protection hidden="1"/>
    </xf>
    <xf numFmtId="3" fontId="40" fillId="0" borderId="0" xfId="3" applyNumberFormat="1" applyFont="1" applyFill="1" applyBorder="1" applyProtection="1">
      <protection hidden="1"/>
    </xf>
    <xf numFmtId="17" fontId="35" fillId="0" borderId="0" xfId="0" applyNumberFormat="1" applyFont="1" applyFill="1" applyBorder="1" applyAlignment="1" applyProtection="1">
      <alignment horizontal="left"/>
      <protection hidden="1"/>
    </xf>
    <xf numFmtId="3" fontId="67" fillId="0" borderId="0" xfId="3" applyNumberFormat="1" applyFont="1" applyFill="1" applyBorder="1" applyProtection="1">
      <protection hidden="1"/>
    </xf>
    <xf numFmtId="17" fontId="35" fillId="0" borderId="0" xfId="0" applyNumberFormat="1" applyFont="1" applyFill="1" applyBorder="1" applyAlignment="1" applyProtection="1">
      <alignment horizontal="center"/>
      <protection hidden="1"/>
    </xf>
    <xf numFmtId="4" fontId="68" fillId="0" borderId="0" xfId="3" applyNumberFormat="1" applyFont="1" applyFill="1" applyBorder="1" applyProtection="1">
      <protection hidden="1"/>
    </xf>
  </cellXfs>
  <cellStyles count="7">
    <cellStyle name="Обычный" xfId="0" builtinId="0"/>
    <cellStyle name="Примечание" xfId="6" builtinId="10"/>
    <cellStyle name="Процентный" xfId="2" builtinId="5"/>
    <cellStyle name="Финансовый" xfId="1" builtinId="3"/>
    <cellStyle name="Comma 2" xfId="5" xr:uid="{00000000-0005-0000-0000-000000000000}"/>
    <cellStyle name="Normal 2" xfId="3" xr:uid="{00000000-0005-0000-0000-000001000000}"/>
    <cellStyle name="Percent 2" xfId="4" xr:uid="{00000000-0005-0000-0000-000002000000}"/>
  </cellStyles>
  <dxfs count="0"/>
  <tableStyles count="0" defaultTableStyle="TableStyleMedium2" defaultPivotStyle="PivotStyleLight16"/>
  <colors>
    <mruColors>
      <color rgb="FF0000FF"/>
      <color rgb="FFE5B1ED"/>
      <color rgb="FFA470D4"/>
      <color rgb="FF942092"/>
      <color rgb="FF9999FF"/>
      <color rgb="FFAD9BD2"/>
      <color rgb="FFFF0000"/>
      <color rgb="FFFF00FF"/>
      <color rgb="FF00CC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инвестора'!$A$39</c:f>
              <c:strCache>
                <c:ptCount val="1"/>
                <c:pt idx="0">
                  <c:v>Стоимость доли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B3-044F-8C10-F594BFDF1D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инвестора'!$B$39:$L$39</c:f>
              <c:numCache>
                <c:formatCode>#,##0</c:formatCode>
                <c:ptCount val="11"/>
                <c:pt idx="0">
                  <c:v>5000</c:v>
                </c:pt>
                <c:pt idx="1">
                  <c:v>5875</c:v>
                </c:pt>
                <c:pt idx="2">
                  <c:v>6415.3964266148405</c:v>
                </c:pt>
                <c:pt idx="3">
                  <c:v>7050.1468228083431</c:v>
                </c:pt>
                <c:pt idx="4">
                  <c:v>7774.4658125629703</c:v>
                </c:pt>
                <c:pt idx="5">
                  <c:v>8584.425011183188</c:v>
                </c:pt>
                <c:pt idx="6">
                  <c:v>9487.2063733720661</c:v>
                </c:pt>
                <c:pt idx="7">
                  <c:v>10477.801667737589</c:v>
                </c:pt>
                <c:pt idx="8">
                  <c:v>11566.098013348754</c:v>
                </c:pt>
                <c:pt idx="9">
                  <c:v>12777.160727696019</c:v>
                </c:pt>
                <c:pt idx="10">
                  <c:v>14117.884101406717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3-044F-8C10-F594BFDF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'I City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City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96B-D940-A8BE-C9383106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9075808"/>
        <c:axId val="439077520"/>
      </c:barChart>
      <c:catAx>
        <c:axId val="4390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439077520"/>
        <c:crosses val="autoZero"/>
        <c:auto val="1"/>
        <c:lblAlgn val="ctr"/>
        <c:lblOffset val="100"/>
        <c:noMultiLvlLbl val="0"/>
      </c:catAx>
      <c:valAx>
        <c:axId val="439077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9075808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790501968407142E-2"/>
          <c:y val="0.13789064772360693"/>
          <c:w val="0.96966114957096694"/>
          <c:h val="0.75358194529934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инвестора'!$A$40</c:f>
              <c:strCache>
                <c:ptCount val="1"/>
                <c:pt idx="0">
                  <c:v>Дивиденды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90-A745-B72C-F58B6A6B1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инвестора'!$B$40:$L$40</c:f>
              <c:numCache>
                <c:formatCode>#,##0</c:formatCode>
                <c:ptCount val="11"/>
                <c:pt idx="0">
                  <c:v>0</c:v>
                </c:pt>
                <c:pt idx="1">
                  <c:v>200</c:v>
                </c:pt>
                <c:pt idx="2">
                  <c:v>410</c:v>
                </c:pt>
                <c:pt idx="3">
                  <c:v>435</c:v>
                </c:pt>
                <c:pt idx="4">
                  <c:v>455</c:v>
                </c:pt>
                <c:pt idx="5">
                  <c:v>490</c:v>
                </c:pt>
                <c:pt idx="6">
                  <c:v>530</c:v>
                </c:pt>
                <c:pt idx="7">
                  <c:v>555</c:v>
                </c:pt>
                <c:pt idx="8">
                  <c:v>580</c:v>
                </c:pt>
                <c:pt idx="9">
                  <c:v>625</c:v>
                </c:pt>
                <c:pt idx="10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1-F949-89BD-9C3AD0266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инвестора'!$A$76</c:f>
              <c:strCache>
                <c:ptCount val="1"/>
                <c:pt idx="0">
                  <c:v>Стоимость доли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BE6-624B-A562-022B538B49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инвестора'!$B$76:$L$76</c:f>
              <c:numCache>
                <c:formatCode>#,##0</c:formatCode>
                <c:ptCount val="11"/>
                <c:pt idx="0">
                  <c:v>1000</c:v>
                </c:pt>
                <c:pt idx="1">
                  <c:v>1175</c:v>
                </c:pt>
                <c:pt idx="2">
                  <c:v>1283.0792853229682</c:v>
                </c:pt>
                <c:pt idx="3">
                  <c:v>1410.0293645616687</c:v>
                </c:pt>
                <c:pt idx="4">
                  <c:v>1554.8931625125942</c:v>
                </c:pt>
                <c:pt idx="5">
                  <c:v>1716.8850022366375</c:v>
                </c:pt>
                <c:pt idx="6">
                  <c:v>1897.4412746744133</c:v>
                </c:pt>
                <c:pt idx="7">
                  <c:v>2095.560333547518</c:v>
                </c:pt>
                <c:pt idx="8">
                  <c:v>2313.2196026697507</c:v>
                </c:pt>
                <c:pt idx="9">
                  <c:v>2555.4321455392037</c:v>
                </c:pt>
                <c:pt idx="10">
                  <c:v>2823.5768202813433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E6-624B-A562-022B538B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инвестора'!$A$77</c:f>
              <c:strCache>
                <c:ptCount val="1"/>
                <c:pt idx="0">
                  <c:v>Дивиденды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A0D-9442-B6AE-D34F3EABC8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инвестора'!$B$77:$L$77</c:f>
              <c:numCache>
                <c:formatCode>#,##0</c:formatCode>
                <c:ptCount val="11"/>
                <c:pt idx="0">
                  <c:v>0</c:v>
                </c:pt>
                <c:pt idx="1">
                  <c:v>40</c:v>
                </c:pt>
                <c:pt idx="2">
                  <c:v>82</c:v>
                </c:pt>
                <c:pt idx="3">
                  <c:v>87</c:v>
                </c:pt>
                <c:pt idx="4">
                  <c:v>91</c:v>
                </c:pt>
                <c:pt idx="5">
                  <c:v>98</c:v>
                </c:pt>
                <c:pt idx="6">
                  <c:v>106</c:v>
                </c:pt>
                <c:pt idx="7">
                  <c:v>111</c:v>
                </c:pt>
                <c:pt idx="8">
                  <c:v>116</c:v>
                </c:pt>
                <c:pt idx="9">
                  <c:v>125</c:v>
                </c:pt>
                <c:pt idx="1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0D-9442-B6AE-D34F3EAB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инвестора'!$A$85</c:f>
              <c:strCache>
                <c:ptCount val="1"/>
                <c:pt idx="0">
                  <c:v>Стоимость доли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9AE-8B41-9C98-7FC21163F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инвестора'!$B$85:$L$85</c:f>
              <c:numCache>
                <c:formatCode>#,##0</c:formatCode>
                <c:ptCount val="11"/>
                <c:pt idx="0">
                  <c:v>1000</c:v>
                </c:pt>
                <c:pt idx="1">
                  <c:v>1175</c:v>
                </c:pt>
                <c:pt idx="2">
                  <c:v>1555.2589584725299</c:v>
                </c:pt>
                <c:pt idx="3">
                  <c:v>1792.4376078233211</c:v>
                </c:pt>
                <c:pt idx="4">
                  <c:v>2073.6989929229558</c:v>
                </c:pt>
                <c:pt idx="5">
                  <c:v>2403.7450156612167</c:v>
                </c:pt>
                <c:pt idx="6">
                  <c:v>2780.3666477312026</c:v>
                </c:pt>
                <c:pt idx="7">
                  <c:v>3209.5218969666148</c:v>
                </c:pt>
                <c:pt idx="8">
                  <c:v>3708.778242766793</c:v>
                </c:pt>
                <c:pt idx="9">
                  <c:v>4280.0903627019707</c:v>
                </c:pt>
                <c:pt idx="10">
                  <c:v>4940.3572525665177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E-8B41-9C98-7FC21163F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инвестора'!$A$86</c:f>
              <c:strCache>
                <c:ptCount val="1"/>
                <c:pt idx="0">
                  <c:v>Дивиденды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AB-EF4D-AFFC-7F2641895E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инвестора'!$B$86:$L$86</c:f>
              <c:numCache>
                <c:formatCode>#,##0</c:formatCode>
                <c:ptCount val="11"/>
                <c:pt idx="0">
                  <c:v>0</c:v>
                </c:pt>
                <c:pt idx="1">
                  <c:v>40</c:v>
                </c:pt>
                <c:pt idx="2">
                  <c:v>87</c:v>
                </c:pt>
                <c:pt idx="3">
                  <c:v>97</c:v>
                </c:pt>
                <c:pt idx="4">
                  <c:v>104</c:v>
                </c:pt>
                <c:pt idx="5">
                  <c:v>114</c:v>
                </c:pt>
                <c:pt idx="6">
                  <c:v>129</c:v>
                </c:pt>
                <c:pt idx="7">
                  <c:v>142</c:v>
                </c:pt>
                <c:pt idx="8">
                  <c:v>158</c:v>
                </c:pt>
                <c:pt idx="9">
                  <c:v>185</c:v>
                </c:pt>
                <c:pt idx="1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B-EF4D-AFFC-7F264189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инвестора'!$A$92</c:f>
              <c:strCache>
                <c:ptCount val="1"/>
                <c:pt idx="0">
                  <c:v>Стоимость доли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C8-6F4F-ADC9-4ABF77806C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инвестора'!$B$92:$L$92</c:f>
              <c:numCache>
                <c:formatCode>#,##0</c:formatCode>
                <c:ptCount val="11"/>
                <c:pt idx="0">
                  <c:v>1000</c:v>
                </c:pt>
                <c:pt idx="1">
                  <c:v>1175</c:v>
                </c:pt>
                <c:pt idx="2">
                  <c:v>1175</c:v>
                </c:pt>
                <c:pt idx="3">
                  <c:v>1190.9268869416851</c:v>
                </c:pt>
                <c:pt idx="4">
                  <c:v>1274.7641351597781</c:v>
                </c:pt>
                <c:pt idx="5">
                  <c:v>1368.416827924209</c:v>
                </c:pt>
                <c:pt idx="6">
                  <c:v>1473.7256096307087</c:v>
                </c:pt>
                <c:pt idx="7">
                  <c:v>1589.5903348180814</c:v>
                </c:pt>
                <c:pt idx="8">
                  <c:v>1705.1866186410157</c:v>
                </c:pt>
                <c:pt idx="9">
                  <c:v>1824.6715803178156</c:v>
                </c:pt>
                <c:pt idx="10">
                  <c:v>1955.7022542701156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C8-6F4F-ADC9-4ABF7780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инвестора'!$A$93</c:f>
              <c:strCache>
                <c:ptCount val="1"/>
                <c:pt idx="0">
                  <c:v>Дивиденды </c:v>
                </c:pt>
              </c:strCache>
            </c:strRef>
          </c:tx>
          <c:spPr>
            <a:noFill/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C5E-2F4F-B848-D42FD76A1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инвестора'!$B$93:$L$93</c:f>
              <c:numCache>
                <c:formatCode>#,##0</c:formatCode>
                <c:ptCount val="1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81</c:v>
                </c:pt>
                <c:pt idx="5">
                  <c:v>83</c:v>
                </c:pt>
                <c:pt idx="6">
                  <c:v>84</c:v>
                </c:pt>
                <c:pt idx="7">
                  <c:v>87</c:v>
                </c:pt>
                <c:pt idx="8">
                  <c:v>96</c:v>
                </c:pt>
                <c:pt idx="9">
                  <c:v>102</c:v>
                </c:pt>
                <c:pt idx="1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5E-2F4F-B848-D42FD76A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'I City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City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91B-8F41-925B-5681A4AF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9075808"/>
        <c:axId val="439077520"/>
      </c:barChart>
      <c:catAx>
        <c:axId val="4390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439077520"/>
        <c:crosses val="autoZero"/>
        <c:auto val="1"/>
        <c:lblAlgn val="ctr"/>
        <c:lblOffset val="100"/>
        <c:noMultiLvlLbl val="0"/>
      </c:catAx>
      <c:valAx>
        <c:axId val="439077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9075808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93</xdr:rowOff>
    </xdr:from>
    <xdr:to>
      <xdr:col>130</xdr:col>
      <xdr:colOff>152400</xdr:colOff>
      <xdr:row>67</xdr:row>
      <xdr:rowOff>169858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1F4735E-28A9-FE0C-1A41-FF33932A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53593"/>
          <a:ext cx="171316650" cy="39480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90918</xdr:rowOff>
    </xdr:from>
    <xdr:to>
      <xdr:col>4</xdr:col>
      <xdr:colOff>120952</xdr:colOff>
      <xdr:row>45</xdr:row>
      <xdr:rowOff>75642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8A13564-8FE3-B04C-B798-468DD31CB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246429</xdr:colOff>
      <xdr:row>24</xdr:row>
      <xdr:rowOff>12021</xdr:rowOff>
    </xdr:from>
    <xdr:to>
      <xdr:col>12</xdr:col>
      <xdr:colOff>141111</xdr:colOff>
      <xdr:row>46</xdr:row>
      <xdr:rowOff>29799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A4266E4-17AE-C241-A258-BB6964459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598652</xdr:colOff>
      <xdr:row>25</xdr:row>
      <xdr:rowOff>80080</xdr:rowOff>
    </xdr:from>
    <xdr:to>
      <xdr:col>9</xdr:col>
      <xdr:colOff>924472</xdr:colOff>
      <xdr:row>27</xdr:row>
      <xdr:rowOff>167266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11050A1-40FA-5491-48DD-A6CD679B2D44}"/>
            </a:ext>
          </a:extLst>
        </xdr:cNvPr>
        <xdr:cNvSpPr txBox="1"/>
      </xdr:nvSpPr>
      <xdr:spPr>
        <a:xfrm>
          <a:off x="15235402" y="3477330"/>
          <a:ext cx="4691445" cy="5316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800" i="1">
              <a:solidFill>
                <a:srgbClr val="7030A0"/>
              </a:solidFill>
              <a:latin typeface="Century Gothic" panose="020B0502020202020204" pitchFamily="34" charset="0"/>
            </a:rPr>
            <a:t>Дивиденды</a:t>
          </a:r>
          <a:r>
            <a:rPr lang="ru-RU" sz="1800" i="1" baseline="0">
              <a:solidFill>
                <a:srgbClr val="7030A0"/>
              </a:solidFill>
              <a:latin typeface="Century Gothic" panose="020B0502020202020204" pitchFamily="34" charset="0"/>
            </a:rPr>
            <a:t>, тыс. руб.</a:t>
          </a:r>
          <a:endParaRPr lang="ru-RU" sz="1800" i="1">
            <a:solidFill>
              <a:srgbClr val="7030A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3379952</xdr:colOff>
      <xdr:row>25</xdr:row>
      <xdr:rowOff>82197</xdr:rowOff>
    </xdr:from>
    <xdr:to>
      <xdr:col>2</xdr:col>
      <xdr:colOff>535151</xdr:colOff>
      <xdr:row>27</xdr:row>
      <xdr:rowOff>165149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DD39ABA-472D-F849-A8EC-AA21893A371B}"/>
            </a:ext>
          </a:extLst>
        </xdr:cNvPr>
        <xdr:cNvSpPr txBox="1"/>
      </xdr:nvSpPr>
      <xdr:spPr>
        <a:xfrm>
          <a:off x="3379952" y="3479447"/>
          <a:ext cx="3759199" cy="5274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800" i="1" baseline="0">
              <a:solidFill>
                <a:srgbClr val="7030A0"/>
              </a:solidFill>
              <a:latin typeface="Century Gothic" panose="020B0502020202020204" pitchFamily="34" charset="0"/>
            </a:rPr>
            <a:t>Стоимость доли, тыс. руб.</a:t>
          </a:r>
          <a:endParaRPr lang="ru-RU" sz="1800" i="1">
            <a:solidFill>
              <a:srgbClr val="7030A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0</xdr:colOff>
      <xdr:row>102</xdr:row>
      <xdr:rowOff>119749</xdr:rowOff>
    </xdr:from>
    <xdr:to>
      <xdr:col>4</xdr:col>
      <xdr:colOff>120952</xdr:colOff>
      <xdr:row>124</xdr:row>
      <xdr:rowOff>66562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105D257C-34E9-DF4F-99B3-718FD67B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246429</xdr:colOff>
      <xdr:row>101</xdr:row>
      <xdr:rowOff>0</xdr:rowOff>
    </xdr:from>
    <xdr:to>
      <xdr:col>12</xdr:col>
      <xdr:colOff>141111</xdr:colOff>
      <xdr:row>125</xdr:row>
      <xdr:rowOff>42616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E6EB22FC-39F7-C043-8302-73B18A6DD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128</xdr:row>
      <xdr:rowOff>73015</xdr:rowOff>
    </xdr:from>
    <xdr:to>
      <xdr:col>4</xdr:col>
      <xdr:colOff>120952</xdr:colOff>
      <xdr:row>150</xdr:row>
      <xdr:rowOff>19828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93E9BD63-A0FA-DF4A-952E-B2B0884C4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246429</xdr:colOff>
      <xdr:row>126</xdr:row>
      <xdr:rowOff>150335</xdr:rowOff>
    </xdr:from>
    <xdr:to>
      <xdr:col>12</xdr:col>
      <xdr:colOff>141111</xdr:colOff>
      <xdr:row>150</xdr:row>
      <xdr:rowOff>192951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10F1516-C4CE-E640-9139-9493BE2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155</xdr:row>
      <xdr:rowOff>159726</xdr:rowOff>
    </xdr:from>
    <xdr:to>
      <xdr:col>4</xdr:col>
      <xdr:colOff>120952</xdr:colOff>
      <xdr:row>177</xdr:row>
      <xdr:rowOff>106538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6CF529FD-1885-C241-BAE5-065D4C731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246429</xdr:colOff>
      <xdr:row>154</xdr:row>
      <xdr:rowOff>39977</xdr:rowOff>
    </xdr:from>
    <xdr:to>
      <xdr:col>12</xdr:col>
      <xdr:colOff>141111</xdr:colOff>
      <xdr:row>178</xdr:row>
      <xdr:rowOff>82593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E8181B3C-34F0-554B-B3E7-7B6B1D665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66</xdr:row>
      <xdr:rowOff>162820</xdr:rowOff>
    </xdr:from>
    <xdr:to>
      <xdr:col>17</xdr:col>
      <xdr:colOff>1009487</xdr:colOff>
      <xdr:row>184</xdr:row>
      <xdr:rowOff>32563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83759BA-5F6E-95A5-DBD0-CDE104CF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2862820"/>
          <a:ext cx="29763590" cy="23315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266</xdr:row>
      <xdr:rowOff>73479</xdr:rowOff>
    </xdr:from>
    <xdr:to>
      <xdr:col>87</xdr:col>
      <xdr:colOff>10583</xdr:colOff>
      <xdr:row>282</xdr:row>
      <xdr:rowOff>11309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4ABD5AB-77BC-7840-9A5A-2AD5BE7A0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281</xdr:row>
      <xdr:rowOff>113392</xdr:rowOff>
    </xdr:from>
    <xdr:to>
      <xdr:col>88</xdr:col>
      <xdr:colOff>428775</xdr:colOff>
      <xdr:row>294</xdr:row>
      <xdr:rowOff>188685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69507A6-3494-714C-A3CF-B370E82FD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1104-D30A-2347-B855-69F2E488596E}">
  <sheetPr>
    <tabColor rgb="FF7030A0"/>
  </sheetPr>
  <dimension ref="A1:DR135"/>
  <sheetViews>
    <sheetView showGridLines="0" tabSelected="1" topLeftCell="A12" zoomScale="80" zoomScaleNormal="80" workbookViewId="0">
      <selection activeCell="D18" sqref="D18"/>
    </sheetView>
  </sheetViews>
  <sheetFormatPr baseColWidth="10" defaultColWidth="8.83203125" defaultRowHeight="15" customHeight="1" x14ac:dyDescent="0.2"/>
  <cols>
    <col min="1" max="1" width="71.1640625" style="168" customWidth="1"/>
    <col min="2" max="2" width="15.5" style="169" bestFit="1" customWidth="1"/>
    <col min="3" max="3" width="19.5" style="168" customWidth="1"/>
    <col min="4" max="4" width="26.1640625" style="168" customWidth="1"/>
    <col min="5" max="5" width="18.1640625" style="168" customWidth="1"/>
    <col min="6" max="6" width="25.6640625" style="168" customWidth="1"/>
    <col min="7" max="8" width="15.83203125" style="168" customWidth="1"/>
    <col min="9" max="9" width="41.5" style="168" customWidth="1"/>
    <col min="10" max="10" width="14.83203125" style="168" bestFit="1" customWidth="1"/>
    <col min="11" max="12" width="15.83203125" style="168" customWidth="1"/>
    <col min="13" max="13" width="14.6640625" style="168" bestFit="1" customWidth="1"/>
    <col min="14" max="14" width="14.5" style="168" bestFit="1" customWidth="1"/>
    <col min="15" max="15" width="14.5" style="168" customWidth="1"/>
    <col min="16" max="85" width="18.83203125" style="168" customWidth="1"/>
    <col min="86" max="122" width="14.1640625" style="168" customWidth="1"/>
    <col min="123" max="16384" width="8.83203125" style="168"/>
  </cols>
  <sheetData>
    <row r="1" spans="1:15" ht="16" hidden="1" x14ac:dyDescent="0.2">
      <c r="C1" s="168">
        <v>1</v>
      </c>
    </row>
    <row r="2" spans="1:15" ht="16" hidden="1" x14ac:dyDescent="0.2">
      <c r="C2" s="168">
        <v>2</v>
      </c>
    </row>
    <row r="3" spans="1:15" ht="16" hidden="1" x14ac:dyDescent="0.2">
      <c r="C3" s="168">
        <v>3</v>
      </c>
    </row>
    <row r="4" spans="1:15" ht="16" hidden="1" x14ac:dyDescent="0.2">
      <c r="C4" s="168">
        <v>4</v>
      </c>
    </row>
    <row r="5" spans="1:15" ht="16" hidden="1" x14ac:dyDescent="0.2">
      <c r="C5" s="168">
        <v>5</v>
      </c>
    </row>
    <row r="6" spans="1:15" ht="16" hidden="1" x14ac:dyDescent="0.2">
      <c r="C6" s="168">
        <v>6</v>
      </c>
    </row>
    <row r="7" spans="1:15" ht="16" hidden="1" x14ac:dyDescent="0.2">
      <c r="C7" s="168">
        <v>7</v>
      </c>
    </row>
    <row r="8" spans="1:15" ht="16" hidden="1" x14ac:dyDescent="0.2">
      <c r="C8" s="168">
        <v>8</v>
      </c>
    </row>
    <row r="9" spans="1:15" ht="16" hidden="1" x14ac:dyDescent="0.2">
      <c r="C9" s="168">
        <v>9</v>
      </c>
    </row>
    <row r="10" spans="1:15" ht="16" hidden="1" x14ac:dyDescent="0.2">
      <c r="C10" s="168">
        <v>10</v>
      </c>
    </row>
    <row r="11" spans="1:15" ht="15" hidden="1" customHeight="1" x14ac:dyDescent="0.2"/>
    <row r="12" spans="1:15" ht="31" thickBot="1" x14ac:dyDescent="0.35">
      <c r="A12" s="170" t="s">
        <v>243</v>
      </c>
      <c r="B12" s="171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3"/>
    </row>
    <row r="13" spans="1:15" ht="18" x14ac:dyDescent="0.2">
      <c r="M13" s="177"/>
    </row>
    <row r="14" spans="1:15" s="177" customFormat="1" ht="18" x14ac:dyDescent="0.2">
      <c r="A14" s="174" t="s">
        <v>203</v>
      </c>
      <c r="B14" s="174"/>
      <c r="C14" s="175" t="s">
        <v>204</v>
      </c>
      <c r="D14" s="175"/>
      <c r="E14" s="176"/>
      <c r="F14" s="176"/>
      <c r="G14" s="174" t="s">
        <v>205</v>
      </c>
      <c r="H14" s="175"/>
      <c r="I14" s="175"/>
      <c r="J14" s="175" t="s">
        <v>204</v>
      </c>
      <c r="K14" s="175"/>
      <c r="M14" s="168"/>
    </row>
    <row r="15" spans="1:15" s="177" customFormat="1" ht="19" thickBot="1" x14ac:dyDescent="0.25">
      <c r="A15" s="178" t="s">
        <v>206</v>
      </c>
      <c r="C15" s="179" t="s">
        <v>207</v>
      </c>
      <c r="D15" s="215">
        <f>VLOOKUP($D$16,$L$16:$M$19,2)</f>
        <v>46022</v>
      </c>
      <c r="E15" s="180"/>
      <c r="F15" s="179"/>
      <c r="G15" s="178" t="s">
        <v>208</v>
      </c>
      <c r="J15" s="179" t="s">
        <v>171</v>
      </c>
      <c r="K15" s="181">
        <f>MAX($B$31:$DR$31)</f>
        <v>14117884.101406716</v>
      </c>
    </row>
    <row r="16" spans="1:15" s="177" customFormat="1" ht="19" thickBot="1" x14ac:dyDescent="0.25">
      <c r="A16" s="178" t="s">
        <v>209</v>
      </c>
      <c r="C16" s="179"/>
      <c r="D16" s="190">
        <v>1</v>
      </c>
      <c r="E16" s="182" t="s">
        <v>210</v>
      </c>
      <c r="F16" s="179"/>
      <c r="G16" s="183" t="s">
        <v>211</v>
      </c>
      <c r="J16" s="184" t="s">
        <v>207</v>
      </c>
      <c r="K16" s="185">
        <f>K15/D19</f>
        <v>2.8235768202813434</v>
      </c>
      <c r="L16" s="186">
        <v>1</v>
      </c>
      <c r="M16" s="187">
        <f>Модель!F235</f>
        <v>46022</v>
      </c>
      <c r="N16" s="188">
        <f>Модель!C82</f>
        <v>10000</v>
      </c>
      <c r="O16" s="189"/>
    </row>
    <row r="17" spans="1:122" s="177" customFormat="1" ht="19" thickBot="1" x14ac:dyDescent="0.25">
      <c r="A17" s="178" t="s">
        <v>212</v>
      </c>
      <c r="C17" s="180" t="s">
        <v>176</v>
      </c>
      <c r="D17" s="190">
        <v>10</v>
      </c>
      <c r="E17" s="182" t="s">
        <v>213</v>
      </c>
      <c r="G17" s="178" t="s">
        <v>214</v>
      </c>
      <c r="J17" s="179" t="s">
        <v>171</v>
      </c>
      <c r="K17" s="181">
        <f>SUM(B32:DR32)</f>
        <v>4960000</v>
      </c>
      <c r="L17" s="186">
        <v>2</v>
      </c>
      <c r="M17" s="187">
        <f>Модель!G97</f>
        <v>46112</v>
      </c>
      <c r="N17" s="188">
        <f>Модель!C83</f>
        <v>10500</v>
      </c>
      <c r="O17" s="189"/>
    </row>
    <row r="18" spans="1:122" s="177" customFormat="1" ht="19" thickBot="1" x14ac:dyDescent="0.25">
      <c r="A18" s="178" t="s">
        <v>244</v>
      </c>
      <c r="D18" s="191">
        <v>1</v>
      </c>
      <c r="E18" s="182" t="s">
        <v>215</v>
      </c>
      <c r="F18" s="179"/>
      <c r="G18" s="178" t="s">
        <v>216</v>
      </c>
      <c r="J18" s="192" t="s">
        <v>207</v>
      </c>
      <c r="K18" s="193">
        <f>XIRR($B$33:$DR$33,$B$30:$DR$30)</f>
        <v>0.17331592440605165</v>
      </c>
      <c r="L18" s="186">
        <v>3</v>
      </c>
      <c r="M18" s="187">
        <f>Модель!H259</f>
        <v>46203</v>
      </c>
      <c r="N18" s="188">
        <f>Модель!C84</f>
        <v>11250</v>
      </c>
      <c r="O18" s="189"/>
    </row>
    <row r="19" spans="1:122" s="177" customFormat="1" ht="19" thickBot="1" x14ac:dyDescent="0.25">
      <c r="A19" s="194" t="s">
        <v>217</v>
      </c>
      <c r="C19" s="179" t="s">
        <v>171</v>
      </c>
      <c r="D19" s="190">
        <v>5000000</v>
      </c>
      <c r="E19" s="182" t="s">
        <v>218</v>
      </c>
      <c r="F19" s="179"/>
      <c r="G19" s="178" t="s">
        <v>219</v>
      </c>
      <c r="J19" s="192" t="s">
        <v>207</v>
      </c>
      <c r="K19" s="193">
        <f>AVERAGEIF($C$34:$DR$34,"&lt;&gt;0",$C$34:$DR$34)</f>
        <v>0.10442105263157897</v>
      </c>
      <c r="L19" s="186">
        <v>4</v>
      </c>
      <c r="M19" s="187">
        <f>Модель!I271</f>
        <v>46295</v>
      </c>
      <c r="N19" s="188">
        <f>Модель!C85</f>
        <v>11750</v>
      </c>
    </row>
    <row r="20" spans="1:122" s="177" customFormat="1" ht="18" x14ac:dyDescent="0.2">
      <c r="E20" s="179"/>
      <c r="F20" s="179"/>
      <c r="G20" s="183" t="s">
        <v>220</v>
      </c>
      <c r="J20" s="184" t="s">
        <v>207</v>
      </c>
      <c r="K20" s="185">
        <f>(K15+K17)/D19</f>
        <v>3.8155768202813434</v>
      </c>
      <c r="L20" s="228"/>
      <c r="P20" s="189"/>
      <c r="Q20" s="189"/>
      <c r="R20" s="189"/>
      <c r="S20" s="195"/>
    </row>
    <row r="21" spans="1:122" s="177" customFormat="1" ht="18" x14ac:dyDescent="0.2">
      <c r="A21" s="194" t="s">
        <v>221</v>
      </c>
      <c r="C21" s="179" t="s">
        <v>171</v>
      </c>
      <c r="D21" s="181">
        <f>VLOOKUP($D$16,$L$16:$N$19,3)</f>
        <v>10000</v>
      </c>
      <c r="E21" s="209">
        <v>1</v>
      </c>
      <c r="F21" s="179"/>
      <c r="P21" s="211"/>
      <c r="Q21" s="196"/>
      <c r="R21" s="197"/>
    </row>
    <row r="22" spans="1:122" s="177" customFormat="1" ht="18" x14ac:dyDescent="0.2">
      <c r="A22" s="194" t="s">
        <v>222</v>
      </c>
      <c r="B22" s="194"/>
      <c r="C22" s="179" t="s">
        <v>223</v>
      </c>
      <c r="D22" s="181">
        <f>$D$19/$D$21</f>
        <v>500</v>
      </c>
      <c r="E22" s="209">
        <v>2</v>
      </c>
      <c r="F22" s="179"/>
      <c r="G22" s="198" t="s">
        <v>224</v>
      </c>
      <c r="J22" s="199" t="s">
        <v>171</v>
      </c>
      <c r="K22" s="200">
        <f>K15+K17</f>
        <v>19077884.101406716</v>
      </c>
      <c r="P22" s="211"/>
    </row>
    <row r="23" spans="1:122" s="177" customFormat="1" ht="19" thickBot="1" x14ac:dyDescent="0.25">
      <c r="A23" s="201" t="s">
        <v>225</v>
      </c>
      <c r="B23" s="201"/>
      <c r="C23" s="202" t="s">
        <v>207</v>
      </c>
      <c r="D23" s="203">
        <f>D22/Модель!$C$86</f>
        <v>2.0497874755977682E-2</v>
      </c>
      <c r="E23" s="209">
        <v>3</v>
      </c>
      <c r="F23" s="179"/>
      <c r="G23" s="204" t="s">
        <v>226</v>
      </c>
      <c r="H23" s="204"/>
      <c r="I23" s="204"/>
      <c r="J23" s="205" t="s">
        <v>171</v>
      </c>
      <c r="K23" s="205">
        <f>K22-D19</f>
        <v>14077884.101406716</v>
      </c>
      <c r="R23" s="206"/>
    </row>
    <row r="24" spans="1:122" s="177" customFormat="1" ht="18.5" customHeight="1" x14ac:dyDescent="0.2">
      <c r="B24" s="180"/>
      <c r="C24" s="179"/>
      <c r="D24" s="179"/>
      <c r="E24" s="179"/>
      <c r="F24" s="179"/>
      <c r="G24" s="207"/>
      <c r="H24" s="207"/>
      <c r="I24" s="207"/>
      <c r="J24" s="208"/>
      <c r="K24" s="208"/>
    </row>
    <row r="25" spans="1:122" s="177" customFormat="1" ht="19.75" customHeight="1" x14ac:dyDescent="0.2">
      <c r="B25" s="180"/>
      <c r="C25" s="179"/>
      <c r="D25" s="179"/>
      <c r="E25" s="179"/>
      <c r="F25" s="179"/>
      <c r="G25" s="194"/>
      <c r="H25" s="194"/>
      <c r="I25" s="194"/>
      <c r="J25" s="181"/>
      <c r="K25" s="181"/>
    </row>
    <row r="26" spans="1:122" s="316" customFormat="1" ht="18" x14ac:dyDescent="0.2">
      <c r="B26" s="317"/>
      <c r="C26" s="318"/>
      <c r="D26" s="319"/>
      <c r="E26" s="319"/>
      <c r="F26" s="319"/>
      <c r="G26" s="320"/>
      <c r="H26" s="320"/>
      <c r="I26" s="320"/>
      <c r="J26" s="321"/>
      <c r="K26" s="321"/>
    </row>
    <row r="27" spans="1:122" s="316" customFormat="1" ht="18" x14ac:dyDescent="0.2">
      <c r="B27" s="317"/>
      <c r="C27" s="319"/>
      <c r="D27" s="319">
        <v>3</v>
      </c>
      <c r="E27" s="319"/>
      <c r="F27" s="319"/>
      <c r="G27" s="320"/>
      <c r="H27" s="321"/>
      <c r="I27" s="321"/>
      <c r="J27" s="321"/>
      <c r="K27" s="321"/>
    </row>
    <row r="28" spans="1:122" s="316" customFormat="1" ht="18" x14ac:dyDescent="0.2">
      <c r="A28" s="322" t="s">
        <v>16</v>
      </c>
      <c r="B28" s="323">
        <v>0</v>
      </c>
      <c r="C28" s="323">
        <v>1</v>
      </c>
      <c r="D28" s="323">
        <v>1</v>
      </c>
      <c r="E28" s="323">
        <v>1</v>
      </c>
      <c r="F28" s="323">
        <v>1</v>
      </c>
      <c r="G28" s="323">
        <v>1</v>
      </c>
      <c r="H28" s="323">
        <v>1</v>
      </c>
      <c r="I28" s="323">
        <v>1</v>
      </c>
      <c r="J28" s="323">
        <v>1</v>
      </c>
      <c r="K28" s="323">
        <v>1</v>
      </c>
      <c r="L28" s="323">
        <v>1</v>
      </c>
      <c r="M28" s="323">
        <v>1</v>
      </c>
      <c r="N28" s="323">
        <f>B28+1</f>
        <v>1</v>
      </c>
      <c r="O28" s="323">
        <f>C28+1</f>
        <v>2</v>
      </c>
      <c r="P28" s="323">
        <f t="shared" ref="P28:BZ28" si="0">D28+1</f>
        <v>2</v>
      </c>
      <c r="Q28" s="323">
        <f t="shared" si="0"/>
        <v>2</v>
      </c>
      <c r="R28" s="323">
        <f t="shared" si="0"/>
        <v>2</v>
      </c>
      <c r="S28" s="323">
        <f t="shared" si="0"/>
        <v>2</v>
      </c>
      <c r="T28" s="323">
        <f t="shared" si="0"/>
        <v>2</v>
      </c>
      <c r="U28" s="323">
        <f t="shared" si="0"/>
        <v>2</v>
      </c>
      <c r="V28" s="323">
        <f t="shared" si="0"/>
        <v>2</v>
      </c>
      <c r="W28" s="323">
        <f t="shared" si="0"/>
        <v>2</v>
      </c>
      <c r="X28" s="323">
        <f t="shared" si="0"/>
        <v>2</v>
      </c>
      <c r="Y28" s="323">
        <f t="shared" si="0"/>
        <v>2</v>
      </c>
      <c r="Z28" s="323">
        <f t="shared" si="0"/>
        <v>2</v>
      </c>
      <c r="AA28" s="323">
        <f t="shared" si="0"/>
        <v>3</v>
      </c>
      <c r="AB28" s="323">
        <f t="shared" si="0"/>
        <v>3</v>
      </c>
      <c r="AC28" s="323">
        <f t="shared" si="0"/>
        <v>3</v>
      </c>
      <c r="AD28" s="323">
        <f t="shared" si="0"/>
        <v>3</v>
      </c>
      <c r="AE28" s="323">
        <f t="shared" si="0"/>
        <v>3</v>
      </c>
      <c r="AF28" s="323">
        <f t="shared" si="0"/>
        <v>3</v>
      </c>
      <c r="AG28" s="323">
        <f t="shared" si="0"/>
        <v>3</v>
      </c>
      <c r="AH28" s="323">
        <f t="shared" si="0"/>
        <v>3</v>
      </c>
      <c r="AI28" s="323">
        <f t="shared" si="0"/>
        <v>3</v>
      </c>
      <c r="AJ28" s="323">
        <f t="shared" si="0"/>
        <v>3</v>
      </c>
      <c r="AK28" s="323">
        <f t="shared" si="0"/>
        <v>3</v>
      </c>
      <c r="AL28" s="323">
        <f t="shared" si="0"/>
        <v>3</v>
      </c>
      <c r="AM28" s="323">
        <f t="shared" si="0"/>
        <v>4</v>
      </c>
      <c r="AN28" s="323">
        <f t="shared" si="0"/>
        <v>4</v>
      </c>
      <c r="AO28" s="323">
        <f t="shared" si="0"/>
        <v>4</v>
      </c>
      <c r="AP28" s="323">
        <f t="shared" si="0"/>
        <v>4</v>
      </c>
      <c r="AQ28" s="323">
        <f t="shared" si="0"/>
        <v>4</v>
      </c>
      <c r="AR28" s="323">
        <f t="shared" si="0"/>
        <v>4</v>
      </c>
      <c r="AS28" s="323">
        <f t="shared" si="0"/>
        <v>4</v>
      </c>
      <c r="AT28" s="323">
        <f t="shared" si="0"/>
        <v>4</v>
      </c>
      <c r="AU28" s="323">
        <f t="shared" si="0"/>
        <v>4</v>
      </c>
      <c r="AV28" s="323">
        <f t="shared" si="0"/>
        <v>4</v>
      </c>
      <c r="AW28" s="323">
        <f t="shared" si="0"/>
        <v>4</v>
      </c>
      <c r="AX28" s="323">
        <f t="shared" si="0"/>
        <v>4</v>
      </c>
      <c r="AY28" s="323">
        <f t="shared" si="0"/>
        <v>5</v>
      </c>
      <c r="AZ28" s="323">
        <f t="shared" si="0"/>
        <v>5</v>
      </c>
      <c r="BA28" s="323">
        <f t="shared" si="0"/>
        <v>5</v>
      </c>
      <c r="BB28" s="323">
        <f t="shared" si="0"/>
        <v>5</v>
      </c>
      <c r="BC28" s="323">
        <f t="shared" si="0"/>
        <v>5</v>
      </c>
      <c r="BD28" s="323">
        <f t="shared" si="0"/>
        <v>5</v>
      </c>
      <c r="BE28" s="323">
        <f t="shared" si="0"/>
        <v>5</v>
      </c>
      <c r="BF28" s="323">
        <f t="shared" si="0"/>
        <v>5</v>
      </c>
      <c r="BG28" s="323">
        <f t="shared" si="0"/>
        <v>5</v>
      </c>
      <c r="BH28" s="323">
        <f t="shared" si="0"/>
        <v>5</v>
      </c>
      <c r="BI28" s="323">
        <f t="shared" si="0"/>
        <v>5</v>
      </c>
      <c r="BJ28" s="323">
        <f t="shared" si="0"/>
        <v>5</v>
      </c>
      <c r="BK28" s="323">
        <f t="shared" si="0"/>
        <v>6</v>
      </c>
      <c r="BL28" s="323">
        <f t="shared" si="0"/>
        <v>6</v>
      </c>
      <c r="BM28" s="323">
        <f t="shared" si="0"/>
        <v>6</v>
      </c>
      <c r="BN28" s="323">
        <f t="shared" si="0"/>
        <v>6</v>
      </c>
      <c r="BO28" s="323">
        <f t="shared" si="0"/>
        <v>6</v>
      </c>
      <c r="BP28" s="323">
        <f t="shared" si="0"/>
        <v>6</v>
      </c>
      <c r="BQ28" s="323">
        <f t="shared" si="0"/>
        <v>6</v>
      </c>
      <c r="BR28" s="323">
        <f t="shared" si="0"/>
        <v>6</v>
      </c>
      <c r="BS28" s="323">
        <f t="shared" si="0"/>
        <v>6</v>
      </c>
      <c r="BT28" s="323">
        <f t="shared" si="0"/>
        <v>6</v>
      </c>
      <c r="BU28" s="323">
        <f t="shared" si="0"/>
        <v>6</v>
      </c>
      <c r="BV28" s="323">
        <f t="shared" si="0"/>
        <v>6</v>
      </c>
      <c r="BW28" s="323">
        <f t="shared" si="0"/>
        <v>7</v>
      </c>
      <c r="BX28" s="323">
        <f t="shared" si="0"/>
        <v>7</v>
      </c>
      <c r="BY28" s="323">
        <f t="shared" si="0"/>
        <v>7</v>
      </c>
      <c r="BZ28" s="323">
        <f t="shared" si="0"/>
        <v>7</v>
      </c>
      <c r="CA28" s="323">
        <f t="shared" ref="CA28:DR28" si="1">BO28+1</f>
        <v>7</v>
      </c>
      <c r="CB28" s="323">
        <f t="shared" si="1"/>
        <v>7</v>
      </c>
      <c r="CC28" s="323">
        <f t="shared" si="1"/>
        <v>7</v>
      </c>
      <c r="CD28" s="323">
        <f t="shared" si="1"/>
        <v>7</v>
      </c>
      <c r="CE28" s="323">
        <f t="shared" si="1"/>
        <v>7</v>
      </c>
      <c r="CF28" s="323">
        <f t="shared" si="1"/>
        <v>7</v>
      </c>
      <c r="CG28" s="323">
        <f t="shared" si="1"/>
        <v>7</v>
      </c>
      <c r="CH28" s="323">
        <f t="shared" si="1"/>
        <v>7</v>
      </c>
      <c r="CI28" s="323">
        <f t="shared" si="1"/>
        <v>8</v>
      </c>
      <c r="CJ28" s="323">
        <f t="shared" si="1"/>
        <v>8</v>
      </c>
      <c r="CK28" s="323">
        <f t="shared" si="1"/>
        <v>8</v>
      </c>
      <c r="CL28" s="323">
        <f t="shared" si="1"/>
        <v>8</v>
      </c>
      <c r="CM28" s="323">
        <f t="shared" si="1"/>
        <v>8</v>
      </c>
      <c r="CN28" s="323">
        <f t="shared" si="1"/>
        <v>8</v>
      </c>
      <c r="CO28" s="323">
        <f t="shared" si="1"/>
        <v>8</v>
      </c>
      <c r="CP28" s="323">
        <f t="shared" si="1"/>
        <v>8</v>
      </c>
      <c r="CQ28" s="323">
        <f t="shared" si="1"/>
        <v>8</v>
      </c>
      <c r="CR28" s="323">
        <f t="shared" si="1"/>
        <v>8</v>
      </c>
      <c r="CS28" s="323">
        <f t="shared" si="1"/>
        <v>8</v>
      </c>
      <c r="CT28" s="323">
        <f t="shared" si="1"/>
        <v>8</v>
      </c>
      <c r="CU28" s="323">
        <f t="shared" si="1"/>
        <v>9</v>
      </c>
      <c r="CV28" s="323">
        <f t="shared" si="1"/>
        <v>9</v>
      </c>
      <c r="CW28" s="323">
        <f t="shared" si="1"/>
        <v>9</v>
      </c>
      <c r="CX28" s="323">
        <f t="shared" si="1"/>
        <v>9</v>
      </c>
      <c r="CY28" s="323">
        <f t="shared" si="1"/>
        <v>9</v>
      </c>
      <c r="CZ28" s="323">
        <f t="shared" si="1"/>
        <v>9</v>
      </c>
      <c r="DA28" s="323">
        <f t="shared" si="1"/>
        <v>9</v>
      </c>
      <c r="DB28" s="323">
        <f t="shared" si="1"/>
        <v>9</v>
      </c>
      <c r="DC28" s="323">
        <f t="shared" si="1"/>
        <v>9</v>
      </c>
      <c r="DD28" s="323">
        <f t="shared" si="1"/>
        <v>9</v>
      </c>
      <c r="DE28" s="323">
        <f t="shared" si="1"/>
        <v>9</v>
      </c>
      <c r="DF28" s="323">
        <f t="shared" si="1"/>
        <v>9</v>
      </c>
      <c r="DG28" s="323">
        <f t="shared" si="1"/>
        <v>10</v>
      </c>
      <c r="DH28" s="323">
        <f t="shared" si="1"/>
        <v>10</v>
      </c>
      <c r="DI28" s="323">
        <f t="shared" si="1"/>
        <v>10</v>
      </c>
      <c r="DJ28" s="323">
        <f t="shared" si="1"/>
        <v>10</v>
      </c>
      <c r="DK28" s="323">
        <f t="shared" si="1"/>
        <v>10</v>
      </c>
      <c r="DL28" s="323">
        <f t="shared" si="1"/>
        <v>10</v>
      </c>
      <c r="DM28" s="323">
        <f t="shared" si="1"/>
        <v>10</v>
      </c>
      <c r="DN28" s="323">
        <f t="shared" si="1"/>
        <v>10</v>
      </c>
      <c r="DO28" s="323">
        <f t="shared" si="1"/>
        <v>10</v>
      </c>
      <c r="DP28" s="323">
        <f t="shared" si="1"/>
        <v>10</v>
      </c>
      <c r="DQ28" s="323">
        <f t="shared" si="1"/>
        <v>10</v>
      </c>
      <c r="DR28" s="323">
        <f t="shared" si="1"/>
        <v>10</v>
      </c>
    </row>
    <row r="29" spans="1:122" s="316" customFormat="1" ht="18" x14ac:dyDescent="0.2">
      <c r="A29" s="322" t="s">
        <v>227</v>
      </c>
      <c r="B29" s="323">
        <v>0</v>
      </c>
      <c r="C29" s="321">
        <f>B29+1</f>
        <v>1</v>
      </c>
      <c r="D29" s="321">
        <f t="shared" ref="D29:BO29" si="2">C29+1</f>
        <v>2</v>
      </c>
      <c r="E29" s="321">
        <f t="shared" si="2"/>
        <v>3</v>
      </c>
      <c r="F29" s="321">
        <f t="shared" si="2"/>
        <v>4</v>
      </c>
      <c r="G29" s="321">
        <f t="shared" si="2"/>
        <v>5</v>
      </c>
      <c r="H29" s="321">
        <f t="shared" si="2"/>
        <v>6</v>
      </c>
      <c r="I29" s="321">
        <f t="shared" si="2"/>
        <v>7</v>
      </c>
      <c r="J29" s="321">
        <f t="shared" si="2"/>
        <v>8</v>
      </c>
      <c r="K29" s="321">
        <f t="shared" si="2"/>
        <v>9</v>
      </c>
      <c r="L29" s="321">
        <f t="shared" si="2"/>
        <v>10</v>
      </c>
      <c r="M29" s="321">
        <f t="shared" si="2"/>
        <v>11</v>
      </c>
      <c r="N29" s="321">
        <f t="shared" si="2"/>
        <v>12</v>
      </c>
      <c r="O29" s="321">
        <f t="shared" si="2"/>
        <v>13</v>
      </c>
      <c r="P29" s="321">
        <f t="shared" si="2"/>
        <v>14</v>
      </c>
      <c r="Q29" s="321">
        <f t="shared" si="2"/>
        <v>15</v>
      </c>
      <c r="R29" s="321">
        <f t="shared" si="2"/>
        <v>16</v>
      </c>
      <c r="S29" s="321">
        <f t="shared" si="2"/>
        <v>17</v>
      </c>
      <c r="T29" s="321">
        <f t="shared" si="2"/>
        <v>18</v>
      </c>
      <c r="U29" s="321">
        <f t="shared" si="2"/>
        <v>19</v>
      </c>
      <c r="V29" s="321">
        <f t="shared" si="2"/>
        <v>20</v>
      </c>
      <c r="W29" s="321">
        <f t="shared" si="2"/>
        <v>21</v>
      </c>
      <c r="X29" s="321">
        <f t="shared" si="2"/>
        <v>22</v>
      </c>
      <c r="Y29" s="321">
        <f t="shared" si="2"/>
        <v>23</v>
      </c>
      <c r="Z29" s="321">
        <f t="shared" si="2"/>
        <v>24</v>
      </c>
      <c r="AA29" s="321">
        <f t="shared" si="2"/>
        <v>25</v>
      </c>
      <c r="AB29" s="321">
        <f t="shared" si="2"/>
        <v>26</v>
      </c>
      <c r="AC29" s="321">
        <f t="shared" si="2"/>
        <v>27</v>
      </c>
      <c r="AD29" s="321">
        <f t="shared" si="2"/>
        <v>28</v>
      </c>
      <c r="AE29" s="321">
        <f t="shared" si="2"/>
        <v>29</v>
      </c>
      <c r="AF29" s="321">
        <f t="shared" si="2"/>
        <v>30</v>
      </c>
      <c r="AG29" s="321">
        <f t="shared" si="2"/>
        <v>31</v>
      </c>
      <c r="AH29" s="321">
        <f t="shared" si="2"/>
        <v>32</v>
      </c>
      <c r="AI29" s="321">
        <f t="shared" si="2"/>
        <v>33</v>
      </c>
      <c r="AJ29" s="321">
        <f t="shared" si="2"/>
        <v>34</v>
      </c>
      <c r="AK29" s="321">
        <f t="shared" si="2"/>
        <v>35</v>
      </c>
      <c r="AL29" s="321">
        <f t="shared" si="2"/>
        <v>36</v>
      </c>
      <c r="AM29" s="321">
        <f t="shared" si="2"/>
        <v>37</v>
      </c>
      <c r="AN29" s="321">
        <f t="shared" si="2"/>
        <v>38</v>
      </c>
      <c r="AO29" s="321">
        <f t="shared" si="2"/>
        <v>39</v>
      </c>
      <c r="AP29" s="321">
        <f t="shared" si="2"/>
        <v>40</v>
      </c>
      <c r="AQ29" s="321">
        <f t="shared" si="2"/>
        <v>41</v>
      </c>
      <c r="AR29" s="321">
        <f t="shared" si="2"/>
        <v>42</v>
      </c>
      <c r="AS29" s="321">
        <f t="shared" si="2"/>
        <v>43</v>
      </c>
      <c r="AT29" s="321">
        <f t="shared" si="2"/>
        <v>44</v>
      </c>
      <c r="AU29" s="321">
        <f t="shared" si="2"/>
        <v>45</v>
      </c>
      <c r="AV29" s="321">
        <f t="shared" si="2"/>
        <v>46</v>
      </c>
      <c r="AW29" s="321">
        <f t="shared" si="2"/>
        <v>47</v>
      </c>
      <c r="AX29" s="321">
        <f t="shared" si="2"/>
        <v>48</v>
      </c>
      <c r="AY29" s="321">
        <f t="shared" si="2"/>
        <v>49</v>
      </c>
      <c r="AZ29" s="321">
        <f t="shared" si="2"/>
        <v>50</v>
      </c>
      <c r="BA29" s="321">
        <f t="shared" si="2"/>
        <v>51</v>
      </c>
      <c r="BB29" s="321">
        <f t="shared" si="2"/>
        <v>52</v>
      </c>
      <c r="BC29" s="321">
        <f t="shared" si="2"/>
        <v>53</v>
      </c>
      <c r="BD29" s="321">
        <f t="shared" si="2"/>
        <v>54</v>
      </c>
      <c r="BE29" s="321">
        <f t="shared" si="2"/>
        <v>55</v>
      </c>
      <c r="BF29" s="321">
        <f t="shared" si="2"/>
        <v>56</v>
      </c>
      <c r="BG29" s="321">
        <f t="shared" si="2"/>
        <v>57</v>
      </c>
      <c r="BH29" s="321">
        <f t="shared" si="2"/>
        <v>58</v>
      </c>
      <c r="BI29" s="321">
        <f t="shared" si="2"/>
        <v>59</v>
      </c>
      <c r="BJ29" s="321">
        <f t="shared" si="2"/>
        <v>60</v>
      </c>
      <c r="BK29" s="321">
        <f t="shared" si="2"/>
        <v>61</v>
      </c>
      <c r="BL29" s="321">
        <f t="shared" si="2"/>
        <v>62</v>
      </c>
      <c r="BM29" s="321">
        <f t="shared" si="2"/>
        <v>63</v>
      </c>
      <c r="BN29" s="321">
        <f t="shared" si="2"/>
        <v>64</v>
      </c>
      <c r="BO29" s="321">
        <f t="shared" si="2"/>
        <v>65</v>
      </c>
      <c r="BP29" s="321">
        <f t="shared" ref="BP29:DR29" si="3">BO29+1</f>
        <v>66</v>
      </c>
      <c r="BQ29" s="321">
        <f t="shared" si="3"/>
        <v>67</v>
      </c>
      <c r="BR29" s="321">
        <f t="shared" si="3"/>
        <v>68</v>
      </c>
      <c r="BS29" s="321">
        <f t="shared" si="3"/>
        <v>69</v>
      </c>
      <c r="BT29" s="321">
        <f t="shared" si="3"/>
        <v>70</v>
      </c>
      <c r="BU29" s="321">
        <f t="shared" si="3"/>
        <v>71</v>
      </c>
      <c r="BV29" s="321">
        <f t="shared" si="3"/>
        <v>72</v>
      </c>
      <c r="BW29" s="321">
        <f t="shared" si="3"/>
        <v>73</v>
      </c>
      <c r="BX29" s="321">
        <f t="shared" si="3"/>
        <v>74</v>
      </c>
      <c r="BY29" s="321">
        <f t="shared" si="3"/>
        <v>75</v>
      </c>
      <c r="BZ29" s="321">
        <f t="shared" si="3"/>
        <v>76</v>
      </c>
      <c r="CA29" s="321">
        <f t="shared" si="3"/>
        <v>77</v>
      </c>
      <c r="CB29" s="321">
        <f t="shared" si="3"/>
        <v>78</v>
      </c>
      <c r="CC29" s="321">
        <f t="shared" si="3"/>
        <v>79</v>
      </c>
      <c r="CD29" s="321">
        <f t="shared" si="3"/>
        <v>80</v>
      </c>
      <c r="CE29" s="321">
        <f t="shared" si="3"/>
        <v>81</v>
      </c>
      <c r="CF29" s="321">
        <f t="shared" si="3"/>
        <v>82</v>
      </c>
      <c r="CG29" s="321">
        <f t="shared" si="3"/>
        <v>83</v>
      </c>
      <c r="CH29" s="321">
        <f t="shared" si="3"/>
        <v>84</v>
      </c>
      <c r="CI29" s="321">
        <f t="shared" si="3"/>
        <v>85</v>
      </c>
      <c r="CJ29" s="321">
        <f t="shared" si="3"/>
        <v>86</v>
      </c>
      <c r="CK29" s="321">
        <f t="shared" si="3"/>
        <v>87</v>
      </c>
      <c r="CL29" s="321">
        <f t="shared" si="3"/>
        <v>88</v>
      </c>
      <c r="CM29" s="321">
        <f t="shared" si="3"/>
        <v>89</v>
      </c>
      <c r="CN29" s="321">
        <f t="shared" si="3"/>
        <v>90</v>
      </c>
      <c r="CO29" s="321">
        <f t="shared" si="3"/>
        <v>91</v>
      </c>
      <c r="CP29" s="321">
        <f t="shared" si="3"/>
        <v>92</v>
      </c>
      <c r="CQ29" s="321">
        <f t="shared" si="3"/>
        <v>93</v>
      </c>
      <c r="CR29" s="321">
        <f t="shared" si="3"/>
        <v>94</v>
      </c>
      <c r="CS29" s="321">
        <f t="shared" si="3"/>
        <v>95</v>
      </c>
      <c r="CT29" s="321">
        <f t="shared" si="3"/>
        <v>96</v>
      </c>
      <c r="CU29" s="321">
        <f t="shared" si="3"/>
        <v>97</v>
      </c>
      <c r="CV29" s="321">
        <f t="shared" si="3"/>
        <v>98</v>
      </c>
      <c r="CW29" s="321">
        <f t="shared" si="3"/>
        <v>99</v>
      </c>
      <c r="CX29" s="321">
        <f t="shared" si="3"/>
        <v>100</v>
      </c>
      <c r="CY29" s="321">
        <f t="shared" si="3"/>
        <v>101</v>
      </c>
      <c r="CZ29" s="321">
        <f t="shared" si="3"/>
        <v>102</v>
      </c>
      <c r="DA29" s="321">
        <f t="shared" si="3"/>
        <v>103</v>
      </c>
      <c r="DB29" s="321">
        <f t="shared" si="3"/>
        <v>104</v>
      </c>
      <c r="DC29" s="321">
        <f t="shared" si="3"/>
        <v>105</v>
      </c>
      <c r="DD29" s="321">
        <f t="shared" si="3"/>
        <v>106</v>
      </c>
      <c r="DE29" s="321">
        <f t="shared" si="3"/>
        <v>107</v>
      </c>
      <c r="DF29" s="321">
        <f t="shared" si="3"/>
        <v>108</v>
      </c>
      <c r="DG29" s="321">
        <f t="shared" si="3"/>
        <v>109</v>
      </c>
      <c r="DH29" s="321">
        <f t="shared" si="3"/>
        <v>110</v>
      </c>
      <c r="DI29" s="321">
        <f t="shared" si="3"/>
        <v>111</v>
      </c>
      <c r="DJ29" s="321">
        <f t="shared" si="3"/>
        <v>112</v>
      </c>
      <c r="DK29" s="321">
        <f t="shared" si="3"/>
        <v>113</v>
      </c>
      <c r="DL29" s="321">
        <f t="shared" si="3"/>
        <v>114</v>
      </c>
      <c r="DM29" s="321">
        <f t="shared" si="3"/>
        <v>115</v>
      </c>
      <c r="DN29" s="321">
        <f t="shared" si="3"/>
        <v>116</v>
      </c>
      <c r="DO29" s="321">
        <f t="shared" si="3"/>
        <v>117</v>
      </c>
      <c r="DP29" s="321">
        <f t="shared" si="3"/>
        <v>118</v>
      </c>
      <c r="DQ29" s="321">
        <f t="shared" si="3"/>
        <v>119</v>
      </c>
      <c r="DR29" s="321">
        <f t="shared" si="3"/>
        <v>120</v>
      </c>
    </row>
    <row r="30" spans="1:122" s="316" customFormat="1" ht="18" x14ac:dyDescent="0.2">
      <c r="A30" s="322" t="s">
        <v>228</v>
      </c>
      <c r="B30" s="324">
        <f>EOMONTH(D15,0)</f>
        <v>46022</v>
      </c>
      <c r="C30" s="324">
        <f>EOMONTH(B30,1)</f>
        <v>46053</v>
      </c>
      <c r="D30" s="324">
        <f>EOMONTH(C30,1)</f>
        <v>46081</v>
      </c>
      <c r="E30" s="324">
        <f t="shared" ref="E30:BP30" si="4">EOMONTH(D30,1)</f>
        <v>46112</v>
      </c>
      <c r="F30" s="324">
        <f t="shared" si="4"/>
        <v>46142</v>
      </c>
      <c r="G30" s="324">
        <f t="shared" si="4"/>
        <v>46173</v>
      </c>
      <c r="H30" s="324">
        <f t="shared" si="4"/>
        <v>46203</v>
      </c>
      <c r="I30" s="324">
        <f t="shared" si="4"/>
        <v>46234</v>
      </c>
      <c r="J30" s="324">
        <f t="shared" si="4"/>
        <v>46265</v>
      </c>
      <c r="K30" s="324">
        <f>EOMONTH(J30,1)</f>
        <v>46295</v>
      </c>
      <c r="L30" s="324">
        <f t="shared" si="4"/>
        <v>46326</v>
      </c>
      <c r="M30" s="324">
        <f t="shared" si="4"/>
        <v>46356</v>
      </c>
      <c r="N30" s="324">
        <f t="shared" si="4"/>
        <v>46387</v>
      </c>
      <c r="O30" s="324">
        <f t="shared" si="4"/>
        <v>46418</v>
      </c>
      <c r="P30" s="324">
        <f t="shared" si="4"/>
        <v>46446</v>
      </c>
      <c r="Q30" s="324">
        <f t="shared" si="4"/>
        <v>46477</v>
      </c>
      <c r="R30" s="324">
        <f t="shared" si="4"/>
        <v>46507</v>
      </c>
      <c r="S30" s="324">
        <f t="shared" si="4"/>
        <v>46538</v>
      </c>
      <c r="T30" s="324">
        <f t="shared" si="4"/>
        <v>46568</v>
      </c>
      <c r="U30" s="324">
        <f t="shared" si="4"/>
        <v>46599</v>
      </c>
      <c r="V30" s="324">
        <f t="shared" si="4"/>
        <v>46630</v>
      </c>
      <c r="W30" s="324">
        <f t="shared" si="4"/>
        <v>46660</v>
      </c>
      <c r="X30" s="324">
        <f t="shared" si="4"/>
        <v>46691</v>
      </c>
      <c r="Y30" s="324">
        <f t="shared" si="4"/>
        <v>46721</v>
      </c>
      <c r="Z30" s="324">
        <f t="shared" si="4"/>
        <v>46752</v>
      </c>
      <c r="AA30" s="324">
        <f t="shared" si="4"/>
        <v>46783</v>
      </c>
      <c r="AB30" s="324">
        <f t="shared" si="4"/>
        <v>46812</v>
      </c>
      <c r="AC30" s="324">
        <f t="shared" si="4"/>
        <v>46843</v>
      </c>
      <c r="AD30" s="324">
        <f t="shared" si="4"/>
        <v>46873</v>
      </c>
      <c r="AE30" s="324">
        <f t="shared" si="4"/>
        <v>46904</v>
      </c>
      <c r="AF30" s="324">
        <f t="shared" si="4"/>
        <v>46934</v>
      </c>
      <c r="AG30" s="324">
        <f t="shared" si="4"/>
        <v>46965</v>
      </c>
      <c r="AH30" s="324">
        <f t="shared" si="4"/>
        <v>46996</v>
      </c>
      <c r="AI30" s="324">
        <f t="shared" si="4"/>
        <v>47026</v>
      </c>
      <c r="AJ30" s="324">
        <f t="shared" si="4"/>
        <v>47057</v>
      </c>
      <c r="AK30" s="324">
        <f t="shared" si="4"/>
        <v>47087</v>
      </c>
      <c r="AL30" s="324">
        <f t="shared" si="4"/>
        <v>47118</v>
      </c>
      <c r="AM30" s="324">
        <f t="shared" si="4"/>
        <v>47149</v>
      </c>
      <c r="AN30" s="324">
        <f t="shared" si="4"/>
        <v>47177</v>
      </c>
      <c r="AO30" s="324">
        <f t="shared" si="4"/>
        <v>47208</v>
      </c>
      <c r="AP30" s="324">
        <f t="shared" si="4"/>
        <v>47238</v>
      </c>
      <c r="AQ30" s="324">
        <f t="shared" si="4"/>
        <v>47269</v>
      </c>
      <c r="AR30" s="324">
        <f t="shared" si="4"/>
        <v>47299</v>
      </c>
      <c r="AS30" s="324">
        <f t="shared" si="4"/>
        <v>47330</v>
      </c>
      <c r="AT30" s="324">
        <f t="shared" si="4"/>
        <v>47361</v>
      </c>
      <c r="AU30" s="324">
        <f t="shared" si="4"/>
        <v>47391</v>
      </c>
      <c r="AV30" s="324">
        <f t="shared" si="4"/>
        <v>47422</v>
      </c>
      <c r="AW30" s="324">
        <f t="shared" si="4"/>
        <v>47452</v>
      </c>
      <c r="AX30" s="324">
        <f t="shared" si="4"/>
        <v>47483</v>
      </c>
      <c r="AY30" s="324">
        <f t="shared" si="4"/>
        <v>47514</v>
      </c>
      <c r="AZ30" s="324">
        <f t="shared" si="4"/>
        <v>47542</v>
      </c>
      <c r="BA30" s="324">
        <f t="shared" si="4"/>
        <v>47573</v>
      </c>
      <c r="BB30" s="324">
        <f t="shared" si="4"/>
        <v>47603</v>
      </c>
      <c r="BC30" s="324">
        <f t="shared" si="4"/>
        <v>47634</v>
      </c>
      <c r="BD30" s="324">
        <f t="shared" si="4"/>
        <v>47664</v>
      </c>
      <c r="BE30" s="324">
        <f t="shared" si="4"/>
        <v>47695</v>
      </c>
      <c r="BF30" s="324">
        <f t="shared" si="4"/>
        <v>47726</v>
      </c>
      <c r="BG30" s="324">
        <f t="shared" si="4"/>
        <v>47756</v>
      </c>
      <c r="BH30" s="324">
        <f t="shared" si="4"/>
        <v>47787</v>
      </c>
      <c r="BI30" s="324">
        <f t="shared" si="4"/>
        <v>47817</v>
      </c>
      <c r="BJ30" s="324">
        <f t="shared" si="4"/>
        <v>47848</v>
      </c>
      <c r="BK30" s="324">
        <f t="shared" si="4"/>
        <v>47879</v>
      </c>
      <c r="BL30" s="324">
        <f t="shared" si="4"/>
        <v>47907</v>
      </c>
      <c r="BM30" s="324">
        <f t="shared" si="4"/>
        <v>47938</v>
      </c>
      <c r="BN30" s="324">
        <f t="shared" si="4"/>
        <v>47968</v>
      </c>
      <c r="BO30" s="324">
        <f t="shared" si="4"/>
        <v>47999</v>
      </c>
      <c r="BP30" s="324">
        <f t="shared" si="4"/>
        <v>48029</v>
      </c>
      <c r="BQ30" s="324">
        <f t="shared" ref="BQ30:DP30" si="5">EOMONTH(BP30,1)</f>
        <v>48060</v>
      </c>
      <c r="BR30" s="324">
        <f t="shared" si="5"/>
        <v>48091</v>
      </c>
      <c r="BS30" s="324">
        <f t="shared" si="5"/>
        <v>48121</v>
      </c>
      <c r="BT30" s="324">
        <f t="shared" si="5"/>
        <v>48152</v>
      </c>
      <c r="BU30" s="324">
        <f t="shared" si="5"/>
        <v>48182</v>
      </c>
      <c r="BV30" s="324">
        <f t="shared" si="5"/>
        <v>48213</v>
      </c>
      <c r="BW30" s="324">
        <f t="shared" si="5"/>
        <v>48244</v>
      </c>
      <c r="BX30" s="324">
        <f t="shared" si="5"/>
        <v>48273</v>
      </c>
      <c r="BY30" s="324">
        <f t="shared" si="5"/>
        <v>48304</v>
      </c>
      <c r="BZ30" s="324">
        <f t="shared" si="5"/>
        <v>48334</v>
      </c>
      <c r="CA30" s="324">
        <f t="shared" si="5"/>
        <v>48365</v>
      </c>
      <c r="CB30" s="324">
        <f t="shared" si="5"/>
        <v>48395</v>
      </c>
      <c r="CC30" s="324">
        <f t="shared" si="5"/>
        <v>48426</v>
      </c>
      <c r="CD30" s="324">
        <f t="shared" si="5"/>
        <v>48457</v>
      </c>
      <c r="CE30" s="324">
        <f t="shared" si="5"/>
        <v>48487</v>
      </c>
      <c r="CF30" s="324">
        <f t="shared" si="5"/>
        <v>48518</v>
      </c>
      <c r="CG30" s="324">
        <f t="shared" si="5"/>
        <v>48548</v>
      </c>
      <c r="CH30" s="324">
        <f t="shared" si="5"/>
        <v>48579</v>
      </c>
      <c r="CI30" s="324">
        <f t="shared" si="5"/>
        <v>48610</v>
      </c>
      <c r="CJ30" s="324">
        <f t="shared" si="5"/>
        <v>48638</v>
      </c>
      <c r="CK30" s="324">
        <f t="shared" si="5"/>
        <v>48669</v>
      </c>
      <c r="CL30" s="324">
        <f t="shared" si="5"/>
        <v>48699</v>
      </c>
      <c r="CM30" s="324">
        <f t="shared" si="5"/>
        <v>48730</v>
      </c>
      <c r="CN30" s="324">
        <f t="shared" si="5"/>
        <v>48760</v>
      </c>
      <c r="CO30" s="324">
        <f t="shared" si="5"/>
        <v>48791</v>
      </c>
      <c r="CP30" s="324">
        <f t="shared" si="5"/>
        <v>48822</v>
      </c>
      <c r="CQ30" s="324">
        <f t="shared" si="5"/>
        <v>48852</v>
      </c>
      <c r="CR30" s="324">
        <f t="shared" si="5"/>
        <v>48883</v>
      </c>
      <c r="CS30" s="324">
        <f t="shared" si="5"/>
        <v>48913</v>
      </c>
      <c r="CT30" s="324">
        <f t="shared" si="5"/>
        <v>48944</v>
      </c>
      <c r="CU30" s="324">
        <f t="shared" si="5"/>
        <v>48975</v>
      </c>
      <c r="CV30" s="324">
        <f t="shared" si="5"/>
        <v>49003</v>
      </c>
      <c r="CW30" s="324">
        <f t="shared" si="5"/>
        <v>49034</v>
      </c>
      <c r="CX30" s="324">
        <f t="shared" si="5"/>
        <v>49064</v>
      </c>
      <c r="CY30" s="324">
        <f t="shared" si="5"/>
        <v>49095</v>
      </c>
      <c r="CZ30" s="324">
        <f t="shared" si="5"/>
        <v>49125</v>
      </c>
      <c r="DA30" s="324">
        <f t="shared" si="5"/>
        <v>49156</v>
      </c>
      <c r="DB30" s="324">
        <f t="shared" si="5"/>
        <v>49187</v>
      </c>
      <c r="DC30" s="324">
        <f t="shared" si="5"/>
        <v>49217</v>
      </c>
      <c r="DD30" s="324">
        <f t="shared" si="5"/>
        <v>49248</v>
      </c>
      <c r="DE30" s="324">
        <f t="shared" si="5"/>
        <v>49278</v>
      </c>
      <c r="DF30" s="324">
        <f t="shared" si="5"/>
        <v>49309</v>
      </c>
      <c r="DG30" s="324">
        <f t="shared" si="5"/>
        <v>49340</v>
      </c>
      <c r="DH30" s="324">
        <f t="shared" si="5"/>
        <v>49368</v>
      </c>
      <c r="DI30" s="324">
        <f t="shared" si="5"/>
        <v>49399</v>
      </c>
      <c r="DJ30" s="324">
        <f t="shared" si="5"/>
        <v>49429</v>
      </c>
      <c r="DK30" s="324">
        <f t="shared" si="5"/>
        <v>49460</v>
      </c>
      <c r="DL30" s="324">
        <f t="shared" si="5"/>
        <v>49490</v>
      </c>
      <c r="DM30" s="324">
        <f t="shared" si="5"/>
        <v>49521</v>
      </c>
      <c r="DN30" s="324">
        <f t="shared" si="5"/>
        <v>49552</v>
      </c>
      <c r="DO30" s="324">
        <f t="shared" si="5"/>
        <v>49582</v>
      </c>
      <c r="DP30" s="324">
        <f t="shared" si="5"/>
        <v>49613</v>
      </c>
      <c r="DQ30" s="324">
        <f>EOMONTH(DP30,1)</f>
        <v>49643</v>
      </c>
      <c r="DR30" s="324">
        <f>EOMONTH(DQ30,1)</f>
        <v>49674</v>
      </c>
    </row>
    <row r="31" spans="1:122" s="316" customFormat="1" ht="18" x14ac:dyDescent="0.2">
      <c r="A31" s="316" t="s">
        <v>229</v>
      </c>
      <c r="B31" s="321">
        <f>$D$19</f>
        <v>5000000</v>
      </c>
      <c r="C31" s="319">
        <f>IFERROR(HLOOKUP('Калькулятор инвестора'!C$30,Модель!$F$235:$AZ$237,3,0)*'Калькулятор инвестора'!$D$22,'Калькулятор инвестора'!B31)*(C29&lt;=($D$17*12))</f>
        <v>5000000</v>
      </c>
      <c r="D31" s="319">
        <f>IFERROR(HLOOKUP('Калькулятор инвестора'!D$30,Модель!$F$235:$AZ$237,3,0)*'Калькулятор инвестора'!$D$22,'Калькулятор инвестора'!C31)*(D29&lt;=($D$17*12))</f>
        <v>5000000</v>
      </c>
      <c r="E31" s="319">
        <f>IFERROR(HLOOKUP('Калькулятор инвестора'!E$30,Модель!$F$235:$AZ$237,3,0)*'Калькулятор инвестора'!$D$22,'Калькулятор инвестора'!D31)*(E29&lt;=($D$17*12))</f>
        <v>5250000</v>
      </c>
      <c r="F31" s="319">
        <f>IFERROR(HLOOKUP('Калькулятор инвестора'!F$30,Модель!$F$235:$AZ$237,3,0)*'Калькулятор инвестора'!$D$22,'Калькулятор инвестора'!E31)*(F29&lt;=($D$17*12))</f>
        <v>5250000</v>
      </c>
      <c r="G31" s="319">
        <f>IFERROR(HLOOKUP('Калькулятор инвестора'!G$30,Модель!$F$235:$AZ$237,3,0)*'Калькулятор инвестора'!$D$22,'Калькулятор инвестора'!F31)*(G29&lt;=($D$17*12))</f>
        <v>5250000</v>
      </c>
      <c r="H31" s="319">
        <f>IFERROR(HLOOKUP('Калькулятор инвестора'!H$30,Модель!$F$235:$AZ$237,3,0)*'Калькулятор инвестора'!$D$22,'Калькулятор инвестора'!G31)*(H29&lt;=($D$17*12))</f>
        <v>5625000</v>
      </c>
      <c r="I31" s="319">
        <f>IFERROR(HLOOKUP('Калькулятор инвестора'!I$30,Модель!$F$235:$AZ$237,3,0)*'Калькулятор инвестора'!$D$22,'Калькулятор инвестора'!H31)*(I29&lt;=($D$17*12))</f>
        <v>5625000</v>
      </c>
      <c r="J31" s="319">
        <f>IFERROR(HLOOKUP('Калькулятор инвестора'!J$30,Модель!$F$235:$AZ$237,3,0)*'Калькулятор инвестора'!$D$22,'Калькулятор инвестора'!I31)*(J29&lt;=($D$17*12))</f>
        <v>5625000</v>
      </c>
      <c r="K31" s="319">
        <f>IFERROR(HLOOKUP('Калькулятор инвестора'!K$30,Модель!$F$235:$AZ$237,3,0)*'Калькулятор инвестора'!$D$22,'Калькулятор инвестора'!J31)*(K29&lt;=($D$17*12))</f>
        <v>5875000</v>
      </c>
      <c r="L31" s="319">
        <f>IFERROR(HLOOKUP('Калькулятор инвестора'!L$30,Модель!$F$235:$AZ$237,3,0)*'Калькулятор инвестора'!$D$22,'Калькулятор инвестора'!K31)*(L29&lt;=($D$17*12))</f>
        <v>5875000</v>
      </c>
      <c r="M31" s="319">
        <f>IFERROR(HLOOKUP('Калькулятор инвестора'!M$30,Модель!$F$235:$AZ$237,3,0)*'Калькулятор инвестора'!$D$22,'Калькулятор инвестора'!L31)*(M29&lt;=($D$17*12))</f>
        <v>5875000</v>
      </c>
      <c r="N31" s="319">
        <f>IFERROR(HLOOKUP('Калькулятор инвестора'!N$30,Модель!$F$235:$AZ$237,3,0)*'Калькулятор инвестора'!$D$22,'Калькулятор инвестора'!M31)*(N29&lt;=($D$17*12))</f>
        <v>5875000</v>
      </c>
      <c r="O31" s="319">
        <f>IFERROR(HLOOKUP('Калькулятор инвестора'!O$30,Модель!$F$235:$AZ$237,3,0)*'Калькулятор инвестора'!$D$22,'Калькулятор инвестора'!N31)*(O29&lt;=($D$17*12))</f>
        <v>5875000</v>
      </c>
      <c r="P31" s="319">
        <f>IFERROR(HLOOKUP('Калькулятор инвестора'!P$30,Модель!$F$235:$AZ$237,3,0)*'Калькулятор инвестора'!$D$22,'Калькулятор инвестора'!O31)*(P29&lt;=($D$17*12))</f>
        <v>5875000</v>
      </c>
      <c r="Q31" s="319">
        <f>IFERROR(HLOOKUP('Калькулятор инвестора'!Q$30,Модель!$F$235:$AZ$237,3,0)*'Калькулятор инвестора'!$D$22,'Калькулятор инвестора'!P31)*(Q29&lt;=($D$17*12))</f>
        <v>5983212.8227938581</v>
      </c>
      <c r="R31" s="319">
        <f>IFERROR(HLOOKUP('Калькулятор инвестора'!R$30,Модель!$F$235:$AZ$237,3,0)*'Калькулятор инвестора'!$D$22,'Калькулятор инвестора'!Q31)*(R29&lt;=($D$17*12))</f>
        <v>5983212.8227938581</v>
      </c>
      <c r="S31" s="319">
        <f>IFERROR(HLOOKUP('Калькулятор инвестора'!S$30,Модель!$F$235:$AZ$237,3,0)*'Калькулятор инвестора'!$D$22,'Калькулятор инвестора'!R31)*(S29&lt;=($D$17*12))</f>
        <v>5983212.8227938581</v>
      </c>
      <c r="T31" s="319">
        <f>IFERROR(HLOOKUP('Калькулятор инвестора'!T$30,Модель!$F$235:$AZ$237,3,0)*'Калькулятор инвестора'!$D$22,'Калькулятор инвестора'!S31)*(T29&lt;=($D$17*12))</f>
        <v>6113935.0949421655</v>
      </c>
      <c r="U31" s="319">
        <f>IFERROR(HLOOKUP('Калькулятор инвестора'!U$30,Модель!$F$235:$AZ$237,3,0)*'Калькулятор инвестора'!$D$22,'Калькулятор инвестора'!T31)*(U29&lt;=($D$17*12))</f>
        <v>6113935.0949421655</v>
      </c>
      <c r="V31" s="319">
        <f>IFERROR(HLOOKUP('Калькулятор инвестора'!V$30,Модель!$F$235:$AZ$237,3,0)*'Калькулятор инвестора'!$D$22,'Калькулятор инвестора'!U31)*(V29&lt;=($D$17*12))</f>
        <v>6113935.0949421655</v>
      </c>
      <c r="W31" s="319">
        <f>IFERROR(HLOOKUP('Калькулятор инвестора'!W$30,Модель!$F$235:$AZ$237,3,0)*'Калькулятор инвестора'!$D$22,'Калькулятор инвестора'!V31)*(W29&lt;=($D$17*12))</f>
        <v>6264842.0073250746</v>
      </c>
      <c r="X31" s="319">
        <f>IFERROR(HLOOKUP('Калькулятор инвестора'!X$30,Модель!$F$235:$AZ$237,3,0)*'Калькулятор инвестора'!$D$22,'Калькулятор инвестора'!W31)*(X29&lt;=($D$17*12))</f>
        <v>6264842.0073250746</v>
      </c>
      <c r="Y31" s="319">
        <f>IFERROR(HLOOKUP('Калькулятор инвестора'!Y$30,Модель!$F$235:$AZ$237,3,0)*'Калькулятор инвестора'!$D$22,'Калькулятор инвестора'!X31)*(Y29&lt;=($D$17*12))</f>
        <v>6264842.0073250746</v>
      </c>
      <c r="Z31" s="319">
        <f>IFERROR(HLOOKUP('Калькулятор инвестора'!Z$30,Модель!$F$235:$AZ$237,3,0)*'Калькулятор инвестора'!$D$22,'Калькулятор инвестора'!Y31)*(Z29&lt;=($D$17*12))</f>
        <v>6415396.4266148405</v>
      </c>
      <c r="AA31" s="319">
        <f>IFERROR(HLOOKUP('Калькулятор инвестора'!AA$30,Модель!$F$235:$AZ$237,3,0)*'Калькулятор инвестора'!$D$22,'Калькулятор инвестора'!Z31)*(AA29&lt;=($D$17*12))</f>
        <v>6415396.4266148405</v>
      </c>
      <c r="AB31" s="319">
        <f>IFERROR(HLOOKUP('Калькулятор инвестора'!AB$30,Модель!$F$235:$AZ$237,3,0)*'Калькулятор инвестора'!$D$22,'Калькулятор инвестора'!AA31)*(AB29&lt;=($D$17*12))</f>
        <v>6415396.4266148405</v>
      </c>
      <c r="AC31" s="319">
        <f>IFERROR(HLOOKUP('Калькулятор инвестора'!AC$30,Модель!$F$235:$AZ$237,3,0)*'Калькулятор инвестора'!$D$22,'Калькулятор инвестора'!AB31)*(AC29&lt;=($D$17*12))</f>
        <v>6561866.0306216124</v>
      </c>
      <c r="AD31" s="319">
        <f>IFERROR(HLOOKUP('Калькулятор инвестора'!AD$30,Модель!$F$235:$AZ$237,3,0)*'Калькулятор инвестора'!$D$22,'Калькулятор инвестора'!AC31)*(AD29&lt;=($D$17*12))</f>
        <v>6561866.0306216124</v>
      </c>
      <c r="AE31" s="319">
        <f>IFERROR(HLOOKUP('Калькулятор инвестора'!AE$30,Модель!$F$235:$AZ$237,3,0)*'Калькулятор инвестора'!$D$22,'Калькулятор инвестора'!AD31)*(AE29&lt;=($D$17*12))</f>
        <v>6561866.0306216124</v>
      </c>
      <c r="AF31" s="319">
        <f>IFERROR(HLOOKUP('Калькулятор инвестора'!AF$30,Модель!$F$235:$AZ$237,3,0)*'Калькулятор инвестора'!$D$22,'Калькулятор инвестора'!AE31)*(AF29&lt;=($D$17*12))</f>
        <v>6711287.4438908286</v>
      </c>
      <c r="AG31" s="319">
        <f>IFERROR(HLOOKUP('Калькулятор инвестора'!AG$30,Модель!$F$235:$AZ$237,3,0)*'Калькулятор инвестора'!$D$22,'Калькулятор инвестора'!AF31)*(AG29&lt;=($D$17*12))</f>
        <v>6711287.4438908286</v>
      </c>
      <c r="AH31" s="319">
        <f>IFERROR(HLOOKUP('Калькулятор инвестора'!AH$30,Модель!$F$235:$AZ$237,3,0)*'Калькулятор инвестора'!$D$22,'Калькулятор инвестора'!AG31)*(AH29&lt;=($D$17*12))</f>
        <v>6711287.4438908286</v>
      </c>
      <c r="AI31" s="319">
        <f>IFERROR(HLOOKUP('Калькулятор инвестора'!AI$30,Модель!$F$235:$AZ$237,3,0)*'Калькулятор инвестора'!$D$22,'Калькулятор инвестора'!AH31)*(AI29&lt;=($D$17*12))</f>
        <v>6880911.3235065788</v>
      </c>
      <c r="AJ31" s="319">
        <f>IFERROR(HLOOKUP('Калькулятор инвестора'!AJ$30,Модель!$F$235:$AZ$237,3,0)*'Калькулятор инвестора'!$D$22,'Калькулятор инвестора'!AI31)*(AJ29&lt;=($D$17*12))</f>
        <v>6880911.3235065788</v>
      </c>
      <c r="AK31" s="319">
        <f>IFERROR(HLOOKUP('Калькулятор инвестора'!AK$30,Модель!$F$235:$AZ$237,3,0)*'Калькулятор инвестора'!$D$22,'Калькулятор инвестора'!AJ31)*(AK29&lt;=($D$17*12))</f>
        <v>6880911.3235065788</v>
      </c>
      <c r="AL31" s="319">
        <f>IFERROR(HLOOKUP('Калькулятор инвестора'!AL$30,Модель!$F$235:$AZ$237,3,0)*'Калькулятор инвестора'!$D$22,'Калькулятор инвестора'!AK31)*(AL29&lt;=($D$17*12))</f>
        <v>7050146.822808343</v>
      </c>
      <c r="AM31" s="319">
        <f>IFERROR(HLOOKUP('Калькулятор инвестора'!AM$30,Модель!$F$235:$AZ$237,3,0)*'Калькулятор инвестора'!$D$22,'Калькулятор инвестора'!AL31)*(AM29&lt;=($D$17*12))</f>
        <v>7050146.822808343</v>
      </c>
      <c r="AN31" s="319">
        <f>IFERROR(HLOOKUP('Калькулятор инвестора'!AN$30,Модель!$F$235:$AZ$237,3,0)*'Калькулятор инвестора'!$D$22,'Калькулятор инвестора'!AM31)*(AN29&lt;=($D$17*12))</f>
        <v>7050146.822808343</v>
      </c>
      <c r="AO31" s="319">
        <f>IFERROR(HLOOKUP('Калькулятор инвестора'!AO$30,Модель!$F$235:$AZ$237,3,0)*'Калькулятор инвестора'!$D$22,'Калькулятор инвестора'!AN31)*(AO29&lt;=($D$17*12))</f>
        <v>7214893.9253419079</v>
      </c>
      <c r="AP31" s="319">
        <f>IFERROR(HLOOKUP('Калькулятор инвестора'!AP$30,Модель!$F$235:$AZ$237,3,0)*'Калькулятор инвестора'!$D$22,'Калькулятор инвестора'!AO31)*(AP29&lt;=($D$17*12))</f>
        <v>7214893.9253419079</v>
      </c>
      <c r="AQ31" s="319">
        <f>IFERROR(HLOOKUP('Калькулятор инвестора'!AQ$30,Модель!$F$235:$AZ$237,3,0)*'Калькулятор инвестора'!$D$22,'Калькулятор инвестора'!AP31)*(AQ29&lt;=($D$17*12))</f>
        <v>7214893.9253419079</v>
      </c>
      <c r="AR31" s="319">
        <f>IFERROR(HLOOKUP('Калькулятор инвестора'!AR$30,Модель!$F$235:$AZ$237,3,0)*'Калькулятор инвестора'!$D$22,'Калькулятор инвестора'!AQ31)*(AR29&lt;=($D$17*12))</f>
        <v>7382912.472402581</v>
      </c>
      <c r="AS31" s="319">
        <f>IFERROR(HLOOKUP('Калькулятор инвестора'!AS$30,Модель!$F$235:$AZ$237,3,0)*'Калькулятор инвестора'!$D$22,'Калькулятор инвестора'!AR31)*(AS29&lt;=($D$17*12))</f>
        <v>7382912.472402581</v>
      </c>
      <c r="AT31" s="319">
        <f>IFERROR(HLOOKUP('Калькулятор инвестора'!AT$30,Модель!$F$235:$AZ$237,3,0)*'Калькулятор инвестора'!$D$22,'Калькулятор инвестора'!AS31)*(AT29&lt;=($D$17*12))</f>
        <v>7382912.472402581</v>
      </c>
      <c r="AU31" s="319">
        <f>IFERROR(HLOOKUP('Калькулятор инвестора'!AU$30,Модель!$F$235:$AZ$237,3,0)*'Калькулятор инвестора'!$D$22,'Калькулятор инвестора'!AT31)*(AU29&lt;=($D$17*12))</f>
        <v>7578903.0785851236</v>
      </c>
      <c r="AV31" s="319">
        <f>IFERROR(HLOOKUP('Калькулятор инвестора'!AV$30,Модель!$F$235:$AZ$237,3,0)*'Калькулятор инвестора'!$D$22,'Калькулятор инвестора'!AU31)*(AV29&lt;=($D$17*12))</f>
        <v>7578903.0785851236</v>
      </c>
      <c r="AW31" s="319">
        <f>IFERROR(HLOOKUP('Калькулятор инвестора'!AW$30,Модель!$F$235:$AZ$237,3,0)*'Калькулятор инвестора'!$D$22,'Калькулятор инвестора'!AV31)*(AW29&lt;=($D$17*12))</f>
        <v>7578903.0785851236</v>
      </c>
      <c r="AX31" s="319">
        <f>IFERROR(HLOOKUP('Калькулятор инвестора'!AX$30,Модель!$F$235:$AZ$237,3,0)*'Калькулятор инвестора'!$D$22,'Калькулятор инвестора'!AW31)*(AX29&lt;=($D$17*12))</f>
        <v>7774465.8125629704</v>
      </c>
      <c r="AY31" s="319">
        <f>IFERROR(HLOOKUP('Калькулятор инвестора'!AY$30,Модель!$F$235:$AZ$237,3,0)*'Калькулятор инвестора'!$D$22,'Калькулятор инвестора'!AX31)*(AY29&lt;=($D$17*12))</f>
        <v>7774465.8125629704</v>
      </c>
      <c r="AZ31" s="319">
        <f>IFERROR(HLOOKUP('Калькулятор инвестора'!AZ$30,Модель!$F$235:$AZ$237,3,0)*'Калькулятор инвестора'!$D$22,'Калькулятор инвестора'!AY31)*(AZ29&lt;=($D$17*12))</f>
        <v>7774465.8125629704</v>
      </c>
      <c r="BA31" s="319">
        <f>IFERROR(HLOOKUP('Калькулятор инвестора'!BA$30,Модель!$F$235:$AZ$237,3,0)*'Калькулятор инвестора'!$D$22,'Калькулятор инвестора'!AZ31)*(BA29&lt;=($D$17*12))</f>
        <v>7965096.4062041128</v>
      </c>
      <c r="BB31" s="319">
        <f>IFERROR(HLOOKUP('Калькулятор инвестора'!BB$30,Модель!$F$235:$AZ$237,3,0)*'Калькулятор инвестора'!$D$22,'Калькулятор инвестора'!BA31)*(BB29&lt;=($D$17*12))</f>
        <v>7965096.4062041128</v>
      </c>
      <c r="BC31" s="319">
        <f>IFERROR(HLOOKUP('Калькулятор инвестора'!BC$30,Модель!$F$235:$AZ$237,3,0)*'Калькулятор инвестора'!$D$22,'Калькулятор инвестора'!BB31)*(BC29&lt;=($D$17*12))</f>
        <v>7965096.4062041128</v>
      </c>
      <c r="BD31" s="319">
        <f>IFERROR(HLOOKUP('Калькулятор инвестора'!BD$30,Модель!$F$235:$AZ$237,3,0)*'Калькулятор инвестора'!$D$22,'Калькулятор инвестора'!BC31)*(BD29&lt;=($D$17*12))</f>
        <v>8159350.6545219561</v>
      </c>
      <c r="BE31" s="319">
        <f>IFERROR(HLOOKUP('Калькулятор инвестора'!BE$30,Модель!$F$235:$AZ$237,3,0)*'Калькулятор инвестора'!$D$22,'Калькулятор инвестора'!BD31)*(BE29&lt;=($D$17*12))</f>
        <v>8159350.6545219561</v>
      </c>
      <c r="BF31" s="319">
        <f>IFERROR(HLOOKUP('Калькулятор инвестора'!BF$30,Модель!$F$235:$AZ$237,3,0)*'Калькулятор инвестора'!$D$22,'Калькулятор инвестора'!BE31)*(BF29&lt;=($D$17*12))</f>
        <v>8159350.6545219561</v>
      </c>
      <c r="BG31" s="319">
        <f>IFERROR(HLOOKUP('Калькулятор инвестора'!BG$30,Модель!$F$235:$AZ$237,3,0)*'Калькулятор инвестора'!$D$22,'Калькулятор инвестора'!BF31)*(BG29&lt;=($D$17*12))</f>
        <v>8372123.4976680567</v>
      </c>
      <c r="BH31" s="319">
        <f>IFERROR(HLOOKUP('Калькулятор инвестора'!BH$30,Модель!$F$235:$AZ$237,3,0)*'Калькулятор инвестора'!$D$22,'Калькулятор инвестора'!BG31)*(BH29&lt;=($D$17*12))</f>
        <v>8372123.4976680567</v>
      </c>
      <c r="BI31" s="319">
        <f>IFERROR(HLOOKUP('Калькулятор инвестора'!BI$30,Модель!$F$235:$AZ$237,3,0)*'Калькулятор инвестора'!$D$22,'Калькулятор инвестора'!BH31)*(BI29&lt;=($D$17*12))</f>
        <v>8372123.4976680567</v>
      </c>
      <c r="BJ31" s="319">
        <f>IFERROR(HLOOKUP('Калькулятор инвестора'!BJ$30,Модель!$F$235:$AZ$237,3,0)*'Калькулятор инвестора'!$D$22,'Калькулятор инвестора'!BI31)*(BJ29&lt;=($D$17*12))</f>
        <v>8584425.0111831874</v>
      </c>
      <c r="BK31" s="319">
        <f>IFERROR(HLOOKUP('Калькулятор инвестора'!BK$30,Модель!$F$235:$AZ$237,3,0)*'Калькулятор инвестора'!$D$22,'Калькулятор инвестора'!BJ31)*(BK29&lt;=($D$17*12))</f>
        <v>8584425.0111831874</v>
      </c>
      <c r="BL31" s="319">
        <f>IFERROR(HLOOKUP('Калькулятор инвестора'!BL$30,Модель!$F$235:$AZ$237,3,0)*'Калькулятор инвестора'!$D$22,'Калькулятор инвестора'!BK31)*(BL29&lt;=($D$17*12))</f>
        <v>8584425.0111831874</v>
      </c>
      <c r="BM31" s="319">
        <f>IFERROR(HLOOKUP('Калькулятор инвестора'!BM$30,Модель!$F$235:$AZ$237,3,0)*'Калькулятор инвестора'!$D$22,'Калькулятор инвестора'!BL31)*(BM29&lt;=($D$17*12))</f>
        <v>8791306.471081337</v>
      </c>
      <c r="BN31" s="319">
        <f>IFERROR(HLOOKUP('Калькулятор инвестора'!BN$30,Модель!$F$235:$AZ$237,3,0)*'Калькулятор инвестора'!$D$22,'Калькулятор инвестора'!BM31)*(BN29&lt;=($D$17*12))</f>
        <v>8791306.471081337</v>
      </c>
      <c r="BO31" s="319">
        <f>IFERROR(HLOOKUP('Калькулятор инвестора'!BO$30,Модель!$F$235:$AZ$237,3,0)*'Калькулятор инвестора'!$D$22,'Калькулятор инвестора'!BN31)*(BO29&lt;=($D$17*12))</f>
        <v>8791306.471081337</v>
      </c>
      <c r="BP31" s="319">
        <f>IFERROR(HLOOKUP('Калькулятор инвестора'!BP$30,Модель!$F$235:$AZ$237,3,0)*'Калькулятор инвестора'!$D$22,'Калькулятор инвестора'!BO31)*(BP29&lt;=($D$17*12))</f>
        <v>9002199.6434631571</v>
      </c>
      <c r="BQ31" s="319">
        <f>IFERROR(HLOOKUP('Калькулятор инвестора'!BQ$30,Модель!$F$235:$AZ$237,3,0)*'Калькулятор инвестора'!$D$22,'Калькулятор инвестора'!BP31)*(BQ29&lt;=($D$17*12))</f>
        <v>9002199.6434631571</v>
      </c>
      <c r="BR31" s="319">
        <f>IFERROR(HLOOKUP('Калькулятор инвестора'!BR$30,Модель!$F$235:$AZ$237,3,0)*'Калькулятор инвестора'!$D$22,'Калькулятор инвестора'!BQ31)*(BR29&lt;=($D$17*12))</f>
        <v>9002199.6434631571</v>
      </c>
      <c r="BS31" s="319">
        <f>IFERROR(HLOOKUP('Калькулятор инвестора'!BS$30,Модель!$F$235:$AZ$237,3,0)*'Калькулятор инвестора'!$D$22,'Калькулятор инвестора'!BR31)*(BS29&lt;=($D$17*12))</f>
        <v>9244962.5831951164</v>
      </c>
      <c r="BT31" s="319">
        <f>IFERROR(HLOOKUP('Калькулятор инвестора'!BT$30,Модель!$F$235:$AZ$237,3,0)*'Калькулятор инвестора'!$D$22,'Калькулятор инвестора'!BS31)*(BT29&lt;=($D$17*12))</f>
        <v>9244962.5831951164</v>
      </c>
      <c r="BU31" s="319">
        <f>IFERROR(HLOOKUP('Калькулятор инвестора'!BU$30,Модель!$F$235:$AZ$237,3,0)*'Калькулятор инвестора'!$D$22,'Калькулятор инвестора'!BT31)*(BU29&lt;=($D$17*12))</f>
        <v>9244962.5831951164</v>
      </c>
      <c r="BV31" s="319">
        <f>IFERROR(HLOOKUP('Калькулятор инвестора'!BV$30,Модель!$F$235:$AZ$237,3,0)*'Калькулятор инвестора'!$D$22,'Калькулятор инвестора'!BU31)*(BV29&lt;=($D$17*12))</f>
        <v>9487206.3733720668</v>
      </c>
      <c r="BW31" s="319">
        <f>IFERROR(HLOOKUP('Калькулятор инвестора'!BW$30,Модель!$F$235:$AZ$237,3,0)*'Калькулятор инвестора'!$D$22,'Калькулятор инвестора'!BV31)*(BW29&lt;=($D$17*12))</f>
        <v>9487206.3733720668</v>
      </c>
      <c r="BX31" s="319">
        <f>IFERROR(HLOOKUP('Калькулятор инвестора'!BX$30,Модель!$F$235:$AZ$237,3,0)*'Калькулятор инвестора'!$D$22,'Калькулятор инвестора'!BW31)*(BX29&lt;=($D$17*12))</f>
        <v>9487206.3733720668</v>
      </c>
      <c r="BY31" s="319">
        <f>IFERROR(HLOOKUP('Калькулятор инвестора'!BY$30,Модель!$F$235:$AZ$237,3,0)*'Калькулятор инвестора'!$D$22,'Калькулятор инвестора'!BX31)*(BY29&lt;=($D$17*12))</f>
        <v>9723493.618947031</v>
      </c>
      <c r="BZ31" s="319">
        <f>IFERROR(HLOOKUP('Калькулятор инвестора'!BZ$30,Модель!$F$235:$AZ$237,3,0)*'Калькулятор инвестора'!$D$22,'Калькулятор инвестора'!BY31)*(BZ29&lt;=($D$17*12))</f>
        <v>9723493.618947031</v>
      </c>
      <c r="CA31" s="319">
        <f>IFERROR(HLOOKUP('Калькулятор инвестора'!CA$30,Модель!$F$235:$AZ$237,3,0)*'Калькулятор инвестора'!$D$22,'Калькулятор инвестора'!BZ31)*(CA29&lt;=($D$17*12))</f>
        <v>9723493.618947031</v>
      </c>
      <c r="CB31" s="319">
        <f>IFERROR(HLOOKUP('Калькулятор инвестора'!CB$30,Модель!$F$235:$AZ$237,3,0)*'Калькулятор инвестора'!$D$22,'Калькулятор инвестора'!CA31)*(CB29&lt;=($D$17*12))</f>
        <v>9964220.082901815</v>
      </c>
      <c r="CC31" s="319">
        <f>IFERROR(HLOOKUP('Калькулятор инвестора'!CC$30,Модель!$F$235:$AZ$237,3,0)*'Калькулятор инвестора'!$D$22,'Калькулятор инвестора'!CB31)*(CC29&lt;=($D$17*12))</f>
        <v>9964220.082901815</v>
      </c>
      <c r="CD31" s="319">
        <f>IFERROR(HLOOKUP('Калькулятор инвестора'!CD$30,Модель!$F$235:$AZ$237,3,0)*'Калькулятор инвестора'!$D$22,'Калькулятор инвестора'!CC31)*(CD29&lt;=($D$17*12))</f>
        <v>9964220.082901815</v>
      </c>
      <c r="CE31" s="319">
        <f>IFERROR(HLOOKUP('Калькулятор инвестора'!CE$30,Модель!$F$235:$AZ$237,3,0)*'Калькулятор инвестора'!$D$22,'Калькулятор инвестора'!CD31)*(CE29&lt;=($D$17*12))</f>
        <v>10221639.591631878</v>
      </c>
      <c r="CF31" s="319">
        <f>IFERROR(HLOOKUP('Калькулятор инвестора'!CF$30,Модель!$F$235:$AZ$237,3,0)*'Калькулятор инвестора'!$D$22,'Калькулятор инвестора'!CE31)*(CF29&lt;=($D$17*12))</f>
        <v>10221639.591631878</v>
      </c>
      <c r="CG31" s="319">
        <f>IFERROR(HLOOKUP('Калькулятор инвестора'!CG$30,Модель!$F$235:$AZ$237,3,0)*'Калькулятор инвестора'!$D$22,'Калькулятор инвестора'!CF31)*(CG29&lt;=($D$17*12))</f>
        <v>10221639.591631878</v>
      </c>
      <c r="CH31" s="319">
        <f>IFERROR(HLOOKUP('Калькулятор инвестора'!CH$30,Модель!$F$235:$AZ$237,3,0)*'Калькулятор инвестора'!$D$22,'Калькулятор инвестора'!CG31)*(CH29&lt;=($D$17*12))</f>
        <v>10477801.667737588</v>
      </c>
      <c r="CI31" s="319">
        <f>IFERROR(HLOOKUP('Калькулятор инвестора'!CI$30,Модель!$F$235:$AZ$237,3,0)*'Калькулятор инвестора'!$D$22,'Калькулятор инвестора'!CH31)*(CI29&lt;=($D$17*12))</f>
        <v>10477801.667737588</v>
      </c>
      <c r="CJ31" s="319">
        <f>IFERROR(HLOOKUP('Калькулятор инвестора'!CJ$30,Модель!$F$235:$AZ$237,3,0)*'Калькулятор инвестора'!$D$22,'Калькулятор инвестора'!CI31)*(CJ29&lt;=($D$17*12))</f>
        <v>10477801.667737588</v>
      </c>
      <c r="CK31" s="319">
        <f>IFERROR(HLOOKUP('Калькулятор инвестора'!CK$30,Модель!$F$235:$AZ$237,3,0)*'Калькулятор инвестора'!$D$22,'Калькулятор инвестора'!CJ31)*(CK29&lt;=($D$17*12))</f>
        <v>10728336.779675571</v>
      </c>
      <c r="CL31" s="319">
        <f>IFERROR(HLOOKUP('Калькулятор инвестора'!CL$30,Модель!$F$235:$AZ$237,3,0)*'Калькулятор инвестора'!$D$22,'Калькулятор инвестора'!CK31)*(CL29&lt;=($D$17*12))</f>
        <v>10728336.779675571</v>
      </c>
      <c r="CM31" s="319">
        <f>IFERROR(HLOOKUP('Калькулятор инвестора'!CM$30,Модель!$F$235:$AZ$237,3,0)*'Калькулятор инвестора'!$D$22,'Калькулятор инвестора'!CL31)*(CM29&lt;=($D$17*12))</f>
        <v>10728336.779675571</v>
      </c>
      <c r="CN31" s="319">
        <f>IFERROR(HLOOKUP('Калькулятор инвестора'!CN$30,Модель!$F$235:$AZ$237,3,0)*'Калькулятор инвестора'!$D$22,'Калькулятор инвестора'!CM31)*(CN29&lt;=($D$17*12))</f>
        <v>10983080.577240795</v>
      </c>
      <c r="CO31" s="319">
        <f>IFERROR(HLOOKUP('Калькулятор инвестора'!CO$30,Модель!$F$235:$AZ$237,3,0)*'Калькулятор инвестора'!$D$22,'Калькулятор инвестора'!CN31)*(CO29&lt;=($D$17*12))</f>
        <v>10983080.577240795</v>
      </c>
      <c r="CP31" s="319">
        <f>IFERROR(HLOOKUP('Калькулятор инвестора'!CP$30,Модель!$F$235:$AZ$237,3,0)*'Калькулятор инвестора'!$D$22,'Калькулятор инвестора'!CO31)*(CP29&lt;=($D$17*12))</f>
        <v>10983080.577240795</v>
      </c>
      <c r="CQ31" s="319">
        <f>IFERROR(HLOOKUP('Калькулятор инвестора'!CQ$30,Модель!$F$235:$AZ$237,3,0)*'Калькулятор инвестора'!$D$22,'Калькулятор инвестора'!CP31)*(CQ29&lt;=($D$17*12))</f>
        <v>11274859.152686933</v>
      </c>
      <c r="CR31" s="319">
        <f>IFERROR(HLOOKUP('Калькулятор инвестора'!CR$30,Модель!$F$235:$AZ$237,3,0)*'Калькулятор инвестора'!$D$22,'Калькулятор инвестора'!CQ31)*(CR29&lt;=($D$17*12))</f>
        <v>11274859.152686933</v>
      </c>
      <c r="CS31" s="319">
        <f>IFERROR(HLOOKUP('Калькулятор инвестора'!CS$30,Модель!$F$235:$AZ$237,3,0)*'Калькулятор инвестора'!$D$22,'Калькулятор инвестора'!CR31)*(CS29&lt;=($D$17*12))</f>
        <v>11274859.152686933</v>
      </c>
      <c r="CT31" s="319">
        <f>IFERROR(HLOOKUP('Калькулятор инвестора'!CT$30,Модель!$F$235:$AZ$237,3,0)*'Калькулятор инвестора'!$D$22,'Калькулятор инвестора'!CS31)*(CT29&lt;=($D$17*12))</f>
        <v>11566098.013348754</v>
      </c>
      <c r="CU31" s="319">
        <f>IFERROR(HLOOKUP('Калькулятор инвестора'!CU$30,Модель!$F$235:$AZ$237,3,0)*'Калькулятор инвестора'!$D$22,'Калькулятор инвестора'!CT31)*(CU29&lt;=($D$17*12))</f>
        <v>11566098.013348754</v>
      </c>
      <c r="CV31" s="319">
        <f>IFERROR(HLOOKUP('Калькулятор инвестора'!CV$30,Модель!$F$235:$AZ$237,3,0)*'Калькулятор инвестора'!$D$22,'Калькулятор инвестора'!CU31)*(CV29&lt;=($D$17*12))</f>
        <v>11566098.013348754</v>
      </c>
      <c r="CW31" s="319">
        <f>IFERROR(HLOOKUP('Калькулятор инвестора'!CW$30,Модель!$F$235:$AZ$237,3,0)*'Калькулятор инвестора'!$D$22,'Калькулятор инвестора'!CV31)*(CW29&lt;=($D$17*12))</f>
        <v>11851153.509130156</v>
      </c>
      <c r="CX31" s="319">
        <f>IFERROR(HLOOKUP('Калькулятор инвестора'!CX$30,Модель!$F$235:$AZ$237,3,0)*'Калькулятор инвестора'!$D$22,'Калькулятор инвестора'!CW31)*(CX29&lt;=($D$17*12))</f>
        <v>11851153.509130156</v>
      </c>
      <c r="CY31" s="319">
        <f>IFERROR(HLOOKUP('Калькулятор инвестора'!CY$30,Модель!$F$235:$AZ$237,3,0)*'Калькулятор инвестора'!$D$22,'Калькулятор инвестора'!CX31)*(CY29&lt;=($D$17*12))</f>
        <v>11851153.509130156</v>
      </c>
      <c r="CZ31" s="319">
        <f>IFERROR(HLOOKUP('Калькулятор инвестора'!CZ$30,Модель!$F$235:$AZ$237,3,0)*'Калькулятор инвестора'!$D$22,'Калькулятор инвестора'!CY31)*(CZ29&lt;=($D$17*12))</f>
        <v>12140862.274392374</v>
      </c>
      <c r="DA31" s="319">
        <f>IFERROR(HLOOKUP('Калькулятор инвестора'!DA$30,Модель!$F$235:$AZ$237,3,0)*'Калькулятор инвестора'!$D$22,'Калькулятор инвестора'!CZ31)*(DA29&lt;=($D$17*12))</f>
        <v>12140862.274392374</v>
      </c>
      <c r="DB31" s="319">
        <f>IFERROR(HLOOKUP('Калькулятор инвестора'!DB$30,Модель!$F$235:$AZ$237,3,0)*'Калькулятор инвестора'!$D$22,'Калькулятор инвестора'!DA31)*(DB29&lt;=($D$17*12))</f>
        <v>12140862.274392374</v>
      </c>
      <c r="DC31" s="319">
        <f>IFERROR(HLOOKUP('Калькулятор инвестора'!DC$30,Модель!$F$235:$AZ$237,3,0)*'Калькулятор инвестора'!$D$22,'Калькулятор инвестора'!DB31)*(DC29&lt;=($D$17*12))</f>
        <v>12459308.661224909</v>
      </c>
      <c r="DD31" s="319">
        <f>IFERROR(HLOOKUP('Калькулятор инвестора'!DD$30,Модель!$F$235:$AZ$237,3,0)*'Калькулятор инвестора'!$D$22,'Калькулятор инвестора'!DC31)*(DD29&lt;=($D$17*12))</f>
        <v>12459308.661224909</v>
      </c>
      <c r="DE31" s="319">
        <f>IFERROR(HLOOKUP('Калькулятор инвестора'!DE$30,Модель!$F$235:$AZ$237,3,0)*'Калькулятор инвестора'!$D$22,'Калькулятор инвестора'!DD31)*(DE29&lt;=($D$17*12))</f>
        <v>12459308.661224909</v>
      </c>
      <c r="DF31" s="319">
        <f>IFERROR(HLOOKUP('Калькулятор инвестора'!DF$30,Модель!$F$235:$AZ$237,3,0)*'Калькулятор инвестора'!$D$22,'Калькулятор инвестора'!DE31)*(DF29&lt;=($D$17*12))</f>
        <v>12777160.727696018</v>
      </c>
      <c r="DG31" s="319">
        <f>IFERROR(HLOOKUP('Калькулятор инвестора'!DG$30,Модель!$F$235:$AZ$237,3,0)*'Калькулятор инвестора'!$D$22,'Калькулятор инвестора'!DF31)*(DG29&lt;=($D$17*12))</f>
        <v>12777160.727696018</v>
      </c>
      <c r="DH31" s="319">
        <f>IFERROR(HLOOKUP('Калькулятор инвестора'!DH$30,Модель!$F$235:$AZ$237,3,0)*'Калькулятор инвестора'!$D$22,'Калькулятор инвестора'!DG31)*(DH29&lt;=($D$17*12))</f>
        <v>12777160.727696018</v>
      </c>
      <c r="DI31" s="319">
        <f>IFERROR(HLOOKUP('Калькулятор инвестора'!DI$30,Модель!$F$235:$AZ$237,3,0)*'Калькулятор инвестора'!$D$22,'Калькулятор инвестора'!DH31)*(DI29&lt;=($D$17*12))</f>
        <v>13088217.626371261</v>
      </c>
      <c r="DJ31" s="319">
        <f>IFERROR(HLOOKUP('Калькулятор инвестора'!DJ$30,Модель!$F$235:$AZ$237,3,0)*'Калькулятор инвестора'!$D$22,'Калькулятор инвестора'!DI31)*(DJ29&lt;=($D$17*12))</f>
        <v>13088217.626371261</v>
      </c>
      <c r="DK31" s="319">
        <f>IFERROR(HLOOKUP('Калькулятор инвестора'!DK$30,Модель!$F$235:$AZ$237,3,0)*'Калькулятор инвестора'!$D$22,'Калькулятор инвестора'!DJ31)*(DK29&lt;=($D$17*12))</f>
        <v>13088217.626371261</v>
      </c>
      <c r="DL31" s="319">
        <f>IFERROR(HLOOKUP('Калькулятор инвестора'!DL$30,Модель!$F$235:$AZ$237,3,0)*'Калькулятор инвестора'!$D$22,'Калькулятор инвестора'!DK31)*(DL29&lt;=($D$17*12))</f>
        <v>13404417.429648522</v>
      </c>
      <c r="DM31" s="319">
        <f>IFERROR(HLOOKUP('Калькулятор инвестора'!DM$30,Модель!$F$235:$AZ$237,3,0)*'Калькулятор инвестора'!$D$22,'Калькулятор инвестора'!DL31)*(DM29&lt;=($D$17*12))</f>
        <v>13404417.429648522</v>
      </c>
      <c r="DN31" s="319">
        <f>IFERROR(HLOOKUP('Калькулятор инвестора'!DN$30,Модель!$F$235:$AZ$237,3,0)*'Калькулятор инвестора'!$D$22,'Калькулятор инвестора'!DM31)*(DN29&lt;=($D$17*12))</f>
        <v>13404417.429648522</v>
      </c>
      <c r="DO31" s="319">
        <f>IFERROR(HLOOKUP('Калькулятор инвестора'!DO$30,Модель!$F$235:$AZ$237,3,0)*'Калькулятор инвестора'!$D$22,'Калькулятор инвестора'!DN31)*(DO29&lt;=($D$17*12))</f>
        <v>13761477.966701981</v>
      </c>
      <c r="DP31" s="319">
        <f>IFERROR(HLOOKUP('Калькулятор инвестора'!DP$30,Модель!$F$235:$AZ$237,3,0)*'Калькулятор инвестора'!$D$22,'Калькулятор инвестора'!DO31)*(DP29&lt;=($D$17*12))</f>
        <v>13761477.966701981</v>
      </c>
      <c r="DQ31" s="319">
        <f>IFERROR(HLOOKUP('Калькулятор инвестора'!DQ$30,Модель!$F$235:$AZ$237,3,0)*'Калькулятор инвестора'!$D$22,'Калькулятор инвестора'!DP31)*(DQ29&lt;=($D$17*12))</f>
        <v>13761477.966701981</v>
      </c>
      <c r="DR31" s="319">
        <f>IFERROR(HLOOKUP('Калькулятор инвестора'!DR$30,Модель!$F$235:$AZ$237,3,0)*'Калькулятор инвестора'!$D$22,'Калькулятор инвестора'!DQ31)*(DR29&lt;=($D$17*12))</f>
        <v>14117884.101406716</v>
      </c>
    </row>
    <row r="32" spans="1:122" s="316" customFormat="1" ht="18" x14ac:dyDescent="0.2">
      <c r="A32" s="316" t="s">
        <v>28</v>
      </c>
      <c r="B32" s="321">
        <v>0</v>
      </c>
      <c r="C32" s="319">
        <f>IFERROR(HLOOKUP('Калькулятор инвестора'!C$30,Модель!$F$235:$AZ$238,4,0),0)*$D$22*(C29&lt;=($D$17*12))</f>
        <v>0</v>
      </c>
      <c r="D32" s="319">
        <f>IFERROR(HLOOKUP('Калькулятор инвестора'!D$30,Модель!$F$235:$AZ$238,4,0),0)*$D$22*(D29&lt;=($D$17*12))</f>
        <v>0</v>
      </c>
      <c r="E32" s="319">
        <f>IFERROR(HLOOKUP('Калькулятор инвестора'!E$30,Модель!$F$235:$AZ$238,4,0),0)*$D$22*(E29&lt;=($D$17*12))</f>
        <v>0</v>
      </c>
      <c r="F32" s="319">
        <f>IFERROR(HLOOKUP('Калькулятор инвестора'!F$30,Модель!$F$235:$AZ$238,4,0),0)*$D$22*(F29&lt;=($D$17*12))</f>
        <v>0</v>
      </c>
      <c r="G32" s="319">
        <f>IFERROR(HLOOKUP('Калькулятор инвестора'!G$30,Модель!$F$235:$AZ$238,4,0),0)*$D$22*(G29&lt;=($D$17*12))</f>
        <v>0</v>
      </c>
      <c r="H32" s="319">
        <f>IFERROR(HLOOKUP('Калькулятор инвестора'!H$30,Модель!$F$235:$AZ$238,4,0),0)*$D$22*(H29&lt;=($D$17*12))</f>
        <v>0</v>
      </c>
      <c r="I32" s="319">
        <f>IFERROR(HLOOKUP('Калькулятор инвестора'!I$30,Модель!$F$235:$AZ$238,4,0),0)*$D$22*(I29&lt;=($D$17*12))</f>
        <v>0</v>
      </c>
      <c r="J32" s="319">
        <f>IFERROR(HLOOKUP('Калькулятор инвестора'!J$30,Модель!$F$235:$AZ$238,4,0),0)*$D$22*(J29&lt;=($D$17*12))</f>
        <v>0</v>
      </c>
      <c r="K32" s="319">
        <f>IFERROR(HLOOKUP('Калькулятор инвестора'!K$30,Модель!$F$235:$AZ$238,4,0),0)*$D$22*(K29&lt;=($D$17*12))</f>
        <v>100000</v>
      </c>
      <c r="L32" s="319">
        <f>IFERROR(HLOOKUP('Калькулятор инвестора'!L$30,Модель!$F$235:$AZ$238,4,0),0)*$D$22*(L29&lt;=($D$17*12))</f>
        <v>0</v>
      </c>
      <c r="M32" s="319">
        <f>IFERROR(HLOOKUP('Калькулятор инвестора'!M$30,Модель!$F$235:$AZ$238,4,0),0)*$D$22*(M29&lt;=($D$17*12))</f>
        <v>0</v>
      </c>
      <c r="N32" s="319">
        <f>IFERROR(HLOOKUP('Калькулятор инвестора'!N$30,Модель!$F$235:$AZ$238,4,0),0)*$D$22*(N29&lt;=($D$17*12))</f>
        <v>100000</v>
      </c>
      <c r="O32" s="319">
        <f>IFERROR(HLOOKUP('Калькулятор инвестора'!O$30,Модель!$F$235:$AZ$238,4,0),0)*$D$22*(O29&lt;=($D$17*12))</f>
        <v>0</v>
      </c>
      <c r="P32" s="319">
        <f>IFERROR(HLOOKUP('Калькулятор инвестора'!P$30,Модель!$F$235:$AZ$238,4,0),0)*$D$22*(P29&lt;=($D$17*12))</f>
        <v>0</v>
      </c>
      <c r="Q32" s="319">
        <f>IFERROR(HLOOKUP('Калькулятор инвестора'!Q$30,Модель!$F$235:$AZ$238,4,0),0)*$D$22*(Q29&lt;=($D$17*12))</f>
        <v>100000</v>
      </c>
      <c r="R32" s="319">
        <f>IFERROR(HLOOKUP('Калькулятор инвестора'!R$30,Модель!$F$235:$AZ$238,4,0),0)*$D$22*(R29&lt;=($D$17*12))</f>
        <v>0</v>
      </c>
      <c r="S32" s="319">
        <f>IFERROR(HLOOKUP('Калькулятор инвестора'!S$30,Модель!$F$235:$AZ$238,4,0),0)*$D$22*(S29&lt;=($D$17*12))</f>
        <v>0</v>
      </c>
      <c r="T32" s="319">
        <f>IFERROR(HLOOKUP('Калькулятор инвестора'!T$30,Модель!$F$235:$AZ$238,4,0),0)*$D$22*(T29&lt;=($D$17*12))</f>
        <v>100000</v>
      </c>
      <c r="U32" s="319">
        <f>IFERROR(HLOOKUP('Калькулятор инвестора'!U$30,Модель!$F$235:$AZ$238,4,0),0)*$D$22*(U29&lt;=($D$17*12))</f>
        <v>0</v>
      </c>
      <c r="V32" s="319">
        <f>IFERROR(HLOOKUP('Калькулятор инвестора'!V$30,Модель!$F$235:$AZ$238,4,0),0)*$D$22*(V29&lt;=($D$17*12))</f>
        <v>0</v>
      </c>
      <c r="W32" s="319">
        <f>IFERROR(HLOOKUP('Калькулятор инвестора'!W$30,Модель!$F$235:$AZ$238,4,0),0)*$D$22*(W29&lt;=($D$17*12))</f>
        <v>105000</v>
      </c>
      <c r="X32" s="319">
        <f>IFERROR(HLOOKUP('Калькулятор инвестора'!X$30,Модель!$F$235:$AZ$238,4,0),0)*$D$22*(X29&lt;=($D$17*12))</f>
        <v>0</v>
      </c>
      <c r="Y32" s="319">
        <f>IFERROR(HLOOKUP('Калькулятор инвестора'!Y$30,Модель!$F$235:$AZ$238,4,0),0)*$D$22*(Y29&lt;=($D$17*12))</f>
        <v>0</v>
      </c>
      <c r="Z32" s="319">
        <f>IFERROR(HLOOKUP('Калькулятор инвестора'!Z$30,Модель!$F$235:$AZ$238,4,0),0)*$D$22*(Z29&lt;=($D$17*12))</f>
        <v>105000</v>
      </c>
      <c r="AA32" s="319">
        <f>IFERROR(HLOOKUP('Калькулятор инвестора'!AA$30,Модель!$F$235:$AZ$238,4,0),0)*$D$22*(AA29&lt;=($D$17*12))</f>
        <v>0</v>
      </c>
      <c r="AB32" s="319">
        <f>IFERROR(HLOOKUP('Калькулятор инвестора'!AB$30,Модель!$F$235:$AZ$238,4,0),0)*$D$22*(AB29&lt;=($D$17*12))</f>
        <v>0</v>
      </c>
      <c r="AC32" s="319">
        <f>IFERROR(HLOOKUP('Калькулятор инвестора'!AC$30,Модель!$F$235:$AZ$238,4,0),0)*$D$22*(AC29&lt;=($D$17*12))</f>
        <v>105000</v>
      </c>
      <c r="AD32" s="319">
        <f>IFERROR(HLOOKUP('Калькулятор инвестора'!AD$30,Модель!$F$235:$AZ$238,4,0),0)*$D$22*(AD29&lt;=($D$17*12))</f>
        <v>0</v>
      </c>
      <c r="AE32" s="319">
        <f>IFERROR(HLOOKUP('Калькулятор инвестора'!AE$30,Модель!$F$235:$AZ$238,4,0),0)*$D$22*(AE29&lt;=($D$17*12))</f>
        <v>0</v>
      </c>
      <c r="AF32" s="319">
        <f>IFERROR(HLOOKUP('Калькулятор инвестора'!AF$30,Модель!$F$235:$AZ$238,4,0),0)*$D$22*(AF29&lt;=($D$17*12))</f>
        <v>105000</v>
      </c>
      <c r="AG32" s="319">
        <f>IFERROR(HLOOKUP('Калькулятор инвестора'!AG$30,Модель!$F$235:$AZ$238,4,0),0)*$D$22*(AG29&lt;=($D$17*12))</f>
        <v>0</v>
      </c>
      <c r="AH32" s="319">
        <f>IFERROR(HLOOKUP('Калькулятор инвестора'!AH$30,Модель!$F$235:$AZ$238,4,0),0)*$D$22*(AH29&lt;=($D$17*12))</f>
        <v>0</v>
      </c>
      <c r="AI32" s="319">
        <f>IFERROR(HLOOKUP('Калькулятор инвестора'!AI$30,Модель!$F$235:$AZ$238,4,0),0)*$D$22*(AI29&lt;=($D$17*12))</f>
        <v>112500</v>
      </c>
      <c r="AJ32" s="319">
        <f>IFERROR(HLOOKUP('Калькулятор инвестора'!AJ$30,Модель!$F$235:$AZ$238,4,0),0)*$D$22*(AJ29&lt;=($D$17*12))</f>
        <v>0</v>
      </c>
      <c r="AK32" s="319">
        <f>IFERROR(HLOOKUP('Калькулятор инвестора'!AK$30,Модель!$F$235:$AZ$238,4,0),0)*$D$22*(AK29&lt;=($D$17*12))</f>
        <v>0</v>
      </c>
      <c r="AL32" s="319">
        <f>IFERROR(HLOOKUP('Калькулятор инвестора'!AL$30,Модель!$F$235:$AZ$238,4,0),0)*$D$22*(AL29&lt;=($D$17*12))</f>
        <v>112500</v>
      </c>
      <c r="AM32" s="319">
        <f>IFERROR(HLOOKUP('Калькулятор инвестора'!AM$30,Модель!$F$235:$AZ$238,4,0),0)*$D$22*(AM29&lt;=($D$17*12))</f>
        <v>0</v>
      </c>
      <c r="AN32" s="319">
        <f>IFERROR(HLOOKUP('Калькулятор инвестора'!AN$30,Модель!$F$235:$AZ$238,4,0),0)*$D$22*(AN29&lt;=($D$17*12))</f>
        <v>0</v>
      </c>
      <c r="AO32" s="319">
        <f>IFERROR(HLOOKUP('Калькулятор инвестора'!AO$30,Модель!$F$235:$AZ$238,4,0),0)*$D$22*(AO29&lt;=($D$17*12))</f>
        <v>112500</v>
      </c>
      <c r="AP32" s="319">
        <f>IFERROR(HLOOKUP('Калькулятор инвестора'!AP$30,Модель!$F$235:$AZ$238,4,0),0)*$D$22*(AP29&lt;=($D$17*12))</f>
        <v>0</v>
      </c>
      <c r="AQ32" s="319">
        <f>IFERROR(HLOOKUP('Калькулятор инвестора'!AQ$30,Модель!$F$235:$AZ$238,4,0),0)*$D$22*(AQ29&lt;=($D$17*12))</f>
        <v>0</v>
      </c>
      <c r="AR32" s="319">
        <f>IFERROR(HLOOKUP('Калькулятор инвестора'!AR$30,Модель!$F$235:$AZ$238,4,0),0)*$D$22*(AR29&lt;=($D$17*12))</f>
        <v>112500</v>
      </c>
      <c r="AS32" s="319">
        <f>IFERROR(HLOOKUP('Калькулятор инвестора'!AS$30,Модель!$F$235:$AZ$238,4,0),0)*$D$22*(AS29&lt;=($D$17*12))</f>
        <v>0</v>
      </c>
      <c r="AT32" s="319">
        <f>IFERROR(HLOOKUP('Калькулятор инвестора'!AT$30,Модель!$F$235:$AZ$238,4,0),0)*$D$22*(AT29&lt;=($D$17*12))</f>
        <v>0</v>
      </c>
      <c r="AU32" s="319">
        <f>IFERROR(HLOOKUP('Калькулятор инвестора'!AU$30,Модель!$F$235:$AZ$238,4,0),0)*$D$22*(AU29&lt;=($D$17*12))</f>
        <v>115000</v>
      </c>
      <c r="AV32" s="319">
        <f>IFERROR(HLOOKUP('Калькулятор инвестора'!AV$30,Модель!$F$235:$AZ$238,4,0),0)*$D$22*(AV29&lt;=($D$17*12))</f>
        <v>0</v>
      </c>
      <c r="AW32" s="319">
        <f>IFERROR(HLOOKUP('Калькулятор инвестора'!AW$30,Модель!$F$235:$AZ$238,4,0),0)*$D$22*(AW29&lt;=($D$17*12))</f>
        <v>0</v>
      </c>
      <c r="AX32" s="319">
        <f>IFERROR(HLOOKUP('Калькулятор инвестора'!AX$30,Модель!$F$235:$AZ$238,4,0),0)*$D$22*(AX29&lt;=($D$17*12))</f>
        <v>115000</v>
      </c>
      <c r="AY32" s="319">
        <f>IFERROR(HLOOKUP('Калькулятор инвестора'!AY$30,Модель!$F$235:$AZ$238,4,0),0)*$D$22*(AY29&lt;=($D$17*12))</f>
        <v>0</v>
      </c>
      <c r="AZ32" s="319">
        <f>IFERROR(HLOOKUP('Калькулятор инвестора'!AZ$30,Модель!$F$235:$AZ$238,4,0),0)*$D$22*(AZ29&lt;=($D$17*12))</f>
        <v>0</v>
      </c>
      <c r="BA32" s="319">
        <f>IFERROR(HLOOKUP('Калькулятор инвестора'!BA$30,Модель!$F$235:$AZ$238,4,0),0)*$D$22*(BA29&lt;=($D$17*12))</f>
        <v>115000</v>
      </c>
      <c r="BB32" s="319">
        <f>IFERROR(HLOOKUP('Калькулятор инвестора'!BB$30,Модель!$F$235:$AZ$238,4,0),0)*$D$22*(BB29&lt;=($D$17*12))</f>
        <v>0</v>
      </c>
      <c r="BC32" s="319">
        <f>IFERROR(HLOOKUP('Калькулятор инвестора'!BC$30,Модель!$F$235:$AZ$238,4,0),0)*$D$22*(BC29&lt;=($D$17*12))</f>
        <v>0</v>
      </c>
      <c r="BD32" s="319">
        <f>IFERROR(HLOOKUP('Калькулятор инвестора'!BD$30,Модель!$F$235:$AZ$238,4,0),0)*$D$22*(BD29&lt;=($D$17*12))</f>
        <v>115000</v>
      </c>
      <c r="BE32" s="319">
        <f>IFERROR(HLOOKUP('Калькулятор инвестора'!BE$30,Модель!$F$235:$AZ$238,4,0),0)*$D$22*(BE29&lt;=($D$17*12))</f>
        <v>0</v>
      </c>
      <c r="BF32" s="319">
        <f>IFERROR(HLOOKUP('Калькулятор инвестора'!BF$30,Модель!$F$235:$AZ$238,4,0),0)*$D$22*(BF29&lt;=($D$17*12))</f>
        <v>0</v>
      </c>
      <c r="BG32" s="319">
        <f>IFERROR(HLOOKUP('Калькулятор инвестора'!BG$30,Модель!$F$235:$AZ$238,4,0),0)*$D$22*(BG29&lt;=($D$17*12))</f>
        <v>130000</v>
      </c>
      <c r="BH32" s="319">
        <f>IFERROR(HLOOKUP('Калькулятор инвестора'!BH$30,Модель!$F$235:$AZ$238,4,0),0)*$D$22*(BH29&lt;=($D$17*12))</f>
        <v>0</v>
      </c>
      <c r="BI32" s="319">
        <f>IFERROR(HLOOKUP('Калькулятор инвестора'!BI$30,Модель!$F$235:$AZ$238,4,0),0)*$D$22*(BI29&lt;=($D$17*12))</f>
        <v>0</v>
      </c>
      <c r="BJ32" s="319">
        <f>IFERROR(HLOOKUP('Калькулятор инвестора'!BJ$30,Модель!$F$235:$AZ$238,4,0),0)*$D$22*(BJ29&lt;=($D$17*12))</f>
        <v>130000</v>
      </c>
      <c r="BK32" s="319">
        <f>IFERROR(HLOOKUP('Калькулятор инвестора'!BK$30,Модель!$F$235:$AZ$238,4,0),0)*$D$22*(BK29&lt;=($D$17*12))</f>
        <v>0</v>
      </c>
      <c r="BL32" s="319">
        <f>IFERROR(HLOOKUP('Калькулятор инвестора'!BL$30,Модель!$F$235:$AZ$238,4,0),0)*$D$22*(BL29&lt;=($D$17*12))</f>
        <v>0</v>
      </c>
      <c r="BM32" s="319">
        <f>IFERROR(HLOOKUP('Калькулятор инвестора'!BM$30,Модель!$F$235:$AZ$238,4,0),0)*$D$22*(BM29&lt;=($D$17*12))</f>
        <v>130000</v>
      </c>
      <c r="BN32" s="319">
        <f>IFERROR(HLOOKUP('Калькулятор инвестора'!BN$30,Модель!$F$235:$AZ$238,4,0),0)*$D$22*(BN29&lt;=($D$17*12))</f>
        <v>0</v>
      </c>
      <c r="BO32" s="319">
        <f>IFERROR(HLOOKUP('Калькулятор инвестора'!BO$30,Модель!$F$235:$AZ$238,4,0),0)*$D$22*(BO29&lt;=($D$17*12))</f>
        <v>0</v>
      </c>
      <c r="BP32" s="319">
        <f>IFERROR(HLOOKUP('Калькулятор инвестора'!BP$30,Модель!$F$235:$AZ$238,4,0),0)*$D$22*(BP29&lt;=($D$17*12))</f>
        <v>130000</v>
      </c>
      <c r="BQ32" s="319">
        <f>IFERROR(HLOOKUP('Калькулятор инвестора'!BQ$30,Модель!$F$235:$AZ$238,4,0),0)*$D$22*(BQ29&lt;=($D$17*12))</f>
        <v>0</v>
      </c>
      <c r="BR32" s="319">
        <f>IFERROR(HLOOKUP('Калькулятор инвестора'!BR$30,Модель!$F$235:$AZ$238,4,0),0)*$D$22*(BR29&lt;=($D$17*12))</f>
        <v>0</v>
      </c>
      <c r="BS32" s="319">
        <f>IFERROR(HLOOKUP('Калькулятор инвестора'!BS$30,Модель!$F$235:$AZ$238,4,0),0)*$D$22*(BS29&lt;=($D$17*12))</f>
        <v>135000</v>
      </c>
      <c r="BT32" s="319">
        <f>IFERROR(HLOOKUP('Калькулятор инвестора'!BT$30,Модель!$F$235:$AZ$238,4,0),0)*$D$22*(BT29&lt;=($D$17*12))</f>
        <v>0</v>
      </c>
      <c r="BU32" s="319">
        <f>IFERROR(HLOOKUP('Калькулятор инвестора'!BU$30,Модель!$F$235:$AZ$238,4,0),0)*$D$22*(BU29&lt;=($D$17*12))</f>
        <v>0</v>
      </c>
      <c r="BV32" s="319">
        <f>IFERROR(HLOOKUP('Калькулятор инвестора'!BV$30,Модель!$F$235:$AZ$238,4,0),0)*$D$22*(BV29&lt;=($D$17*12))</f>
        <v>135000</v>
      </c>
      <c r="BW32" s="319">
        <f>IFERROR(HLOOKUP('Калькулятор инвестора'!BW$30,Модель!$F$235:$AZ$238,4,0),0)*$D$22*(BW29&lt;=($D$17*12))</f>
        <v>0</v>
      </c>
      <c r="BX32" s="319">
        <f>IFERROR(HLOOKUP('Калькулятор инвестора'!BX$30,Модель!$F$235:$AZ$238,4,0),0)*$D$22*(BX29&lt;=($D$17*12))</f>
        <v>0</v>
      </c>
      <c r="BY32" s="319">
        <f>IFERROR(HLOOKUP('Калькулятор инвестора'!BY$30,Модель!$F$235:$AZ$238,4,0),0)*$D$22*(BY29&lt;=($D$17*12))</f>
        <v>135000</v>
      </c>
      <c r="BZ32" s="319">
        <f>IFERROR(HLOOKUP('Калькулятор инвестора'!BZ$30,Модель!$F$235:$AZ$238,4,0),0)*$D$22*(BZ29&lt;=($D$17*12))</f>
        <v>0</v>
      </c>
      <c r="CA32" s="319">
        <f>IFERROR(HLOOKUP('Калькулятор инвестора'!CA$30,Модель!$F$235:$AZ$238,4,0),0)*$D$22*(CA29&lt;=($D$17*12))</f>
        <v>0</v>
      </c>
      <c r="CB32" s="319">
        <f>IFERROR(HLOOKUP('Калькулятор инвестора'!CB$30,Модель!$F$235:$AZ$238,4,0),0)*$D$22*(CB29&lt;=($D$17*12))</f>
        <v>135000</v>
      </c>
      <c r="CC32" s="319">
        <f>IFERROR(HLOOKUP('Калькулятор инвестора'!CC$30,Модель!$F$235:$AZ$238,4,0),0)*$D$22*(CC29&lt;=($D$17*12))</f>
        <v>0</v>
      </c>
      <c r="CD32" s="319">
        <f>IFERROR(HLOOKUP('Калькулятор инвестора'!CD$30,Модель!$F$235:$AZ$238,4,0),0)*$D$22*(CD29&lt;=($D$17*12))</f>
        <v>0</v>
      </c>
      <c r="CE32" s="319">
        <f>IFERROR(HLOOKUP('Калькулятор инвестора'!CE$30,Модель!$F$235:$AZ$238,4,0),0)*$D$22*(CE29&lt;=($D$17*12))</f>
        <v>142500</v>
      </c>
      <c r="CF32" s="319">
        <f>IFERROR(HLOOKUP('Калькулятор инвестора'!CF$30,Модель!$F$235:$AZ$238,4,0),0)*$D$22*(CF29&lt;=($D$17*12))</f>
        <v>0</v>
      </c>
      <c r="CG32" s="319">
        <f>IFERROR(HLOOKUP('Калькулятор инвестора'!CG$30,Модель!$F$235:$AZ$238,4,0),0)*$D$22*(CG29&lt;=($D$17*12))</f>
        <v>0</v>
      </c>
      <c r="CH32" s="319">
        <f>IFERROR(HLOOKUP('Калькулятор инвестора'!CH$30,Модель!$F$235:$AZ$238,4,0),0)*$D$22*(CH29&lt;=($D$17*12))</f>
        <v>142500</v>
      </c>
      <c r="CI32" s="319">
        <f>IFERROR(HLOOKUP('Калькулятор инвестора'!CI$30,Модель!$F$235:$AZ$238,4,0),0)*$D$22*(CI29&lt;=($D$17*12))</f>
        <v>0</v>
      </c>
      <c r="CJ32" s="319">
        <f>IFERROR(HLOOKUP('Калькулятор инвестора'!CJ$30,Модель!$F$235:$AZ$238,4,0),0)*$D$22*(CJ29&lt;=($D$17*12))</f>
        <v>0</v>
      </c>
      <c r="CK32" s="319">
        <f>IFERROR(HLOOKUP('Калькулятор инвестора'!CK$30,Модель!$F$235:$AZ$238,4,0),0)*$D$22*(CK29&lt;=($D$17*12))</f>
        <v>142500</v>
      </c>
      <c r="CL32" s="319">
        <f>IFERROR(HLOOKUP('Калькулятор инвестора'!CL$30,Модель!$F$235:$AZ$238,4,0),0)*$D$22*(CL29&lt;=($D$17*12))</f>
        <v>0</v>
      </c>
      <c r="CM32" s="319">
        <f>IFERROR(HLOOKUP('Калькулятор инвестора'!CM$30,Модель!$F$235:$AZ$238,4,0),0)*$D$22*(CM29&lt;=($D$17*12))</f>
        <v>0</v>
      </c>
      <c r="CN32" s="319">
        <f>IFERROR(HLOOKUP('Калькулятор инвестора'!CN$30,Модель!$F$235:$AZ$238,4,0),0)*$D$22*(CN29&lt;=($D$17*12))</f>
        <v>142500</v>
      </c>
      <c r="CO32" s="319">
        <f>IFERROR(HLOOKUP('Калькулятор инвестора'!CO$30,Модель!$F$235:$AZ$238,4,0),0)*$D$22*(CO29&lt;=($D$17*12))</f>
        <v>0</v>
      </c>
      <c r="CP32" s="319">
        <f>IFERROR(HLOOKUP('Калькулятор инвестора'!CP$30,Модель!$F$235:$AZ$238,4,0),0)*$D$22*(CP29&lt;=($D$17*12))</f>
        <v>0</v>
      </c>
      <c r="CQ32" s="319">
        <f>IFERROR(HLOOKUP('Калькулятор инвестора'!CQ$30,Модель!$F$235:$AZ$238,4,0),0)*$D$22*(CQ29&lt;=($D$17*12))</f>
        <v>147500</v>
      </c>
      <c r="CR32" s="319">
        <f>IFERROR(HLOOKUP('Калькулятор инвестора'!CR$30,Модель!$F$235:$AZ$238,4,0),0)*$D$22*(CR29&lt;=($D$17*12))</f>
        <v>0</v>
      </c>
      <c r="CS32" s="319">
        <f>IFERROR(HLOOKUP('Калькулятор инвестора'!CS$30,Модель!$F$235:$AZ$238,4,0),0)*$D$22*(CS29&lt;=($D$17*12))</f>
        <v>0</v>
      </c>
      <c r="CT32" s="319">
        <f>IFERROR(HLOOKUP('Калькулятор инвестора'!CT$30,Модель!$F$235:$AZ$238,4,0),0)*$D$22*(CT29&lt;=($D$17*12))</f>
        <v>147500</v>
      </c>
      <c r="CU32" s="319">
        <f>IFERROR(HLOOKUP('Калькулятор инвестора'!CU$30,Модель!$F$235:$AZ$238,4,0),0)*$D$22*(CU29&lt;=($D$17*12))</f>
        <v>0</v>
      </c>
      <c r="CV32" s="319">
        <f>IFERROR(HLOOKUP('Калькулятор инвестора'!CV$30,Модель!$F$235:$AZ$238,4,0),0)*$D$22*(CV29&lt;=($D$17*12))</f>
        <v>0</v>
      </c>
      <c r="CW32" s="319">
        <f>IFERROR(HLOOKUP('Калькулятор инвестора'!CW$30,Модель!$F$235:$AZ$238,4,0),0)*$D$22*(CW29&lt;=($D$17*12))</f>
        <v>147500</v>
      </c>
      <c r="CX32" s="319">
        <f>IFERROR(HLOOKUP('Калькулятор инвестора'!CX$30,Модель!$F$235:$AZ$238,4,0),0)*$D$22*(CX29&lt;=($D$17*12))</f>
        <v>0</v>
      </c>
      <c r="CY32" s="319">
        <f>IFERROR(HLOOKUP('Калькулятор инвестора'!CY$30,Модель!$F$235:$AZ$238,4,0),0)*$D$22*(CY29&lt;=($D$17*12))</f>
        <v>0</v>
      </c>
      <c r="CZ32" s="319">
        <f>IFERROR(HLOOKUP('Калькулятор инвестора'!CZ$30,Модель!$F$235:$AZ$238,4,0),0)*$D$22*(CZ29&lt;=($D$17*12))</f>
        <v>147500</v>
      </c>
      <c r="DA32" s="319">
        <f>IFERROR(HLOOKUP('Калькулятор инвестора'!DA$30,Модель!$F$235:$AZ$238,4,0),0)*$D$22*(DA29&lt;=($D$17*12))</f>
        <v>0</v>
      </c>
      <c r="DB32" s="319">
        <f>IFERROR(HLOOKUP('Калькулятор инвестора'!DB$30,Модель!$F$235:$AZ$238,4,0),0)*$D$22*(DB29&lt;=($D$17*12))</f>
        <v>0</v>
      </c>
      <c r="DC32" s="319">
        <f>IFERROR(HLOOKUP('Калькулятор инвестора'!DC$30,Модель!$F$235:$AZ$238,4,0),0)*$D$22*(DC29&lt;=($D$17*12))</f>
        <v>165000</v>
      </c>
      <c r="DD32" s="319">
        <f>IFERROR(HLOOKUP('Калькулятор инвестора'!DD$30,Модель!$F$235:$AZ$238,4,0),0)*$D$22*(DD29&lt;=($D$17*12))</f>
        <v>0</v>
      </c>
      <c r="DE32" s="319">
        <f>IFERROR(HLOOKUP('Калькулятор инвестора'!DE$30,Модель!$F$235:$AZ$238,4,0),0)*$D$22*(DE29&lt;=($D$17*12))</f>
        <v>0</v>
      </c>
      <c r="DF32" s="319">
        <f>IFERROR(HLOOKUP('Калькулятор инвестора'!DF$30,Модель!$F$235:$AZ$238,4,0),0)*$D$22*(DF29&lt;=($D$17*12))</f>
        <v>165000</v>
      </c>
      <c r="DG32" s="319">
        <f>IFERROR(HLOOKUP('Калькулятор инвестора'!DG$30,Модель!$F$235:$AZ$238,4,0),0)*$D$22*(DG29&lt;=($D$17*12))</f>
        <v>0</v>
      </c>
      <c r="DH32" s="319">
        <f>IFERROR(HLOOKUP('Калькулятор инвестора'!DH$30,Модель!$F$235:$AZ$238,4,0),0)*$D$22*(DH29&lt;=($D$17*12))</f>
        <v>0</v>
      </c>
      <c r="DI32" s="319">
        <f>IFERROR(HLOOKUP('Калькулятор инвестора'!DI$30,Модель!$F$235:$AZ$238,4,0),0)*$D$22*(DI29&lt;=($D$17*12))</f>
        <v>165000</v>
      </c>
      <c r="DJ32" s="319">
        <f>IFERROR(HLOOKUP('Калькулятор инвестора'!DJ$30,Модель!$F$235:$AZ$238,4,0),0)*$D$22*(DJ29&lt;=($D$17*12))</f>
        <v>0</v>
      </c>
      <c r="DK32" s="319">
        <f>IFERROR(HLOOKUP('Калькулятор инвестора'!DK$30,Модель!$F$235:$AZ$238,4,0),0)*$D$22*(DK29&lt;=($D$17*12))</f>
        <v>0</v>
      </c>
      <c r="DL32" s="319">
        <f>IFERROR(HLOOKUP('Калькулятор инвестора'!DL$30,Модель!$F$235:$AZ$238,4,0),0)*$D$22*(DL29&lt;=($D$17*12))</f>
        <v>165000</v>
      </c>
      <c r="DM32" s="319">
        <f>IFERROR(HLOOKUP('Калькулятор инвестора'!DM$30,Модель!$F$235:$AZ$238,4,0),0)*$D$22*(DM29&lt;=($D$17*12))</f>
        <v>0</v>
      </c>
      <c r="DN32" s="319">
        <f>IFERROR(HLOOKUP('Калькулятор инвестора'!DN$30,Модель!$F$235:$AZ$238,4,0),0)*$D$22*(DN29&lt;=($D$17*12))</f>
        <v>0</v>
      </c>
      <c r="DO32" s="319">
        <f>IFERROR(HLOOKUP('Калькулятор инвестора'!DO$30,Модель!$F$235:$AZ$238,4,0),0)*$D$22*(DO29&lt;=($D$17*12))</f>
        <v>175000</v>
      </c>
      <c r="DP32" s="319">
        <f>IFERROR(HLOOKUP('Калькулятор инвестора'!DP$30,Модель!$F$235:$AZ$238,4,0),0)*$D$22*(DP29&lt;=($D$17*12))</f>
        <v>0</v>
      </c>
      <c r="DQ32" s="319">
        <f>IFERROR(HLOOKUP('Калькулятор инвестора'!DQ$30,Модель!$F$235:$AZ$238,4,0),0)*$D$22*(DQ29&lt;=($D$17*12))</f>
        <v>0</v>
      </c>
      <c r="DR32" s="319">
        <f>IFERROR(HLOOKUP('Калькулятор инвестора'!DR$30,Модель!$F$235:$AZ$238,4,0),0)*$D$22*(DR29&lt;=($D$17*12))</f>
        <v>175000</v>
      </c>
    </row>
    <row r="33" spans="1:122" s="322" customFormat="1" ht="18" x14ac:dyDescent="0.2">
      <c r="A33" s="322" t="s">
        <v>230</v>
      </c>
      <c r="B33" s="325">
        <f>-B31+B32</f>
        <v>-5000000</v>
      </c>
      <c r="C33" s="325">
        <f>IF(C$29&lt;=($D$17*12),C32,0) + (C29=$D$17*12)*C31</f>
        <v>0</v>
      </c>
      <c r="D33" s="325">
        <f>IF(D$29&lt;=($D$17*12),D32,0) + (D29=$D$17*12)*D31</f>
        <v>0</v>
      </c>
      <c r="E33" s="325">
        <f>IF(E$29&lt;=($D$17*12),E32,0) + (E29=$D$17*12)*E31</f>
        <v>0</v>
      </c>
      <c r="F33" s="325">
        <f>IF(F$29&lt;=($D$17*12),F32,0) + (F29=$D$17*12)*F31</f>
        <v>0</v>
      </c>
      <c r="G33" s="325">
        <f t="shared" ref="G33:BN33" si="6">IF(G$29&lt;=($D$17*12),G32,0) + (G29=$D$17*12)*G31</f>
        <v>0</v>
      </c>
      <c r="H33" s="325">
        <f t="shared" si="6"/>
        <v>0</v>
      </c>
      <c r="I33" s="325">
        <f t="shared" si="6"/>
        <v>0</v>
      </c>
      <c r="J33" s="325">
        <f t="shared" si="6"/>
        <v>0</v>
      </c>
      <c r="K33" s="325">
        <f t="shared" si="6"/>
        <v>100000</v>
      </c>
      <c r="L33" s="325">
        <f t="shared" si="6"/>
        <v>0</v>
      </c>
      <c r="M33" s="325">
        <f t="shared" si="6"/>
        <v>0</v>
      </c>
      <c r="N33" s="325">
        <f t="shared" si="6"/>
        <v>100000</v>
      </c>
      <c r="O33" s="325">
        <f t="shared" si="6"/>
        <v>0</v>
      </c>
      <c r="P33" s="325">
        <f t="shared" si="6"/>
        <v>0</v>
      </c>
      <c r="Q33" s="325">
        <f t="shared" si="6"/>
        <v>100000</v>
      </c>
      <c r="R33" s="325">
        <f t="shared" si="6"/>
        <v>0</v>
      </c>
      <c r="S33" s="325">
        <f t="shared" si="6"/>
        <v>0</v>
      </c>
      <c r="T33" s="325">
        <f t="shared" si="6"/>
        <v>100000</v>
      </c>
      <c r="U33" s="325">
        <f t="shared" si="6"/>
        <v>0</v>
      </c>
      <c r="V33" s="325">
        <f t="shared" si="6"/>
        <v>0</v>
      </c>
      <c r="W33" s="325">
        <f t="shared" si="6"/>
        <v>105000</v>
      </c>
      <c r="X33" s="325">
        <f t="shared" si="6"/>
        <v>0</v>
      </c>
      <c r="Y33" s="325">
        <f t="shared" si="6"/>
        <v>0</v>
      </c>
      <c r="Z33" s="325">
        <f t="shared" si="6"/>
        <v>105000</v>
      </c>
      <c r="AA33" s="325">
        <f t="shared" si="6"/>
        <v>0</v>
      </c>
      <c r="AB33" s="325">
        <f t="shared" si="6"/>
        <v>0</v>
      </c>
      <c r="AC33" s="325">
        <f t="shared" si="6"/>
        <v>105000</v>
      </c>
      <c r="AD33" s="325">
        <f t="shared" si="6"/>
        <v>0</v>
      </c>
      <c r="AE33" s="325">
        <f t="shared" si="6"/>
        <v>0</v>
      </c>
      <c r="AF33" s="325">
        <f t="shared" si="6"/>
        <v>105000</v>
      </c>
      <c r="AG33" s="325">
        <f t="shared" si="6"/>
        <v>0</v>
      </c>
      <c r="AH33" s="325">
        <f t="shared" si="6"/>
        <v>0</v>
      </c>
      <c r="AI33" s="325">
        <f t="shared" si="6"/>
        <v>112500</v>
      </c>
      <c r="AJ33" s="325">
        <f t="shared" si="6"/>
        <v>0</v>
      </c>
      <c r="AK33" s="325">
        <f t="shared" si="6"/>
        <v>0</v>
      </c>
      <c r="AL33" s="325">
        <f t="shared" si="6"/>
        <v>112500</v>
      </c>
      <c r="AM33" s="325">
        <f t="shared" si="6"/>
        <v>0</v>
      </c>
      <c r="AN33" s="325">
        <f t="shared" si="6"/>
        <v>0</v>
      </c>
      <c r="AO33" s="325">
        <f t="shared" si="6"/>
        <v>112500</v>
      </c>
      <c r="AP33" s="325">
        <f t="shared" si="6"/>
        <v>0</v>
      </c>
      <c r="AQ33" s="325">
        <f t="shared" si="6"/>
        <v>0</v>
      </c>
      <c r="AR33" s="325">
        <f t="shared" si="6"/>
        <v>112500</v>
      </c>
      <c r="AS33" s="325">
        <f t="shared" si="6"/>
        <v>0</v>
      </c>
      <c r="AT33" s="325">
        <f t="shared" si="6"/>
        <v>0</v>
      </c>
      <c r="AU33" s="325">
        <f t="shared" si="6"/>
        <v>115000</v>
      </c>
      <c r="AV33" s="325">
        <f t="shared" si="6"/>
        <v>0</v>
      </c>
      <c r="AW33" s="325">
        <f t="shared" si="6"/>
        <v>0</v>
      </c>
      <c r="AX33" s="325">
        <f t="shared" si="6"/>
        <v>115000</v>
      </c>
      <c r="AY33" s="325">
        <f t="shared" si="6"/>
        <v>0</v>
      </c>
      <c r="AZ33" s="325">
        <f t="shared" si="6"/>
        <v>0</v>
      </c>
      <c r="BA33" s="325">
        <f t="shared" si="6"/>
        <v>115000</v>
      </c>
      <c r="BB33" s="325">
        <f t="shared" si="6"/>
        <v>0</v>
      </c>
      <c r="BC33" s="325">
        <f t="shared" si="6"/>
        <v>0</v>
      </c>
      <c r="BD33" s="325">
        <f t="shared" si="6"/>
        <v>115000</v>
      </c>
      <c r="BE33" s="325">
        <f t="shared" si="6"/>
        <v>0</v>
      </c>
      <c r="BF33" s="325">
        <f t="shared" si="6"/>
        <v>0</v>
      </c>
      <c r="BG33" s="325">
        <f t="shared" si="6"/>
        <v>130000</v>
      </c>
      <c r="BH33" s="325">
        <f t="shared" si="6"/>
        <v>0</v>
      </c>
      <c r="BI33" s="325">
        <f t="shared" si="6"/>
        <v>0</v>
      </c>
      <c r="BJ33" s="325">
        <f t="shared" si="6"/>
        <v>130000</v>
      </c>
      <c r="BK33" s="325">
        <f t="shared" si="6"/>
        <v>0</v>
      </c>
      <c r="BL33" s="325">
        <f t="shared" si="6"/>
        <v>0</v>
      </c>
      <c r="BM33" s="325">
        <f t="shared" si="6"/>
        <v>130000</v>
      </c>
      <c r="BN33" s="325">
        <f t="shared" si="6"/>
        <v>0</v>
      </c>
      <c r="BO33" s="325">
        <f t="shared" ref="BO33:DR33" si="7">IF(BO$29&lt;=($D$17*12),BO32,0) + (BO29=$D$17*12)*BO31</f>
        <v>0</v>
      </c>
      <c r="BP33" s="325">
        <f t="shared" si="7"/>
        <v>130000</v>
      </c>
      <c r="BQ33" s="325">
        <f t="shared" si="7"/>
        <v>0</v>
      </c>
      <c r="BR33" s="325">
        <f t="shared" si="7"/>
        <v>0</v>
      </c>
      <c r="BS33" s="325">
        <f t="shared" si="7"/>
        <v>135000</v>
      </c>
      <c r="BT33" s="325">
        <f t="shared" si="7"/>
        <v>0</v>
      </c>
      <c r="BU33" s="325">
        <f t="shared" si="7"/>
        <v>0</v>
      </c>
      <c r="BV33" s="325">
        <f t="shared" si="7"/>
        <v>135000</v>
      </c>
      <c r="BW33" s="325">
        <f t="shared" si="7"/>
        <v>0</v>
      </c>
      <c r="BX33" s="325">
        <f t="shared" si="7"/>
        <v>0</v>
      </c>
      <c r="BY33" s="325">
        <f t="shared" si="7"/>
        <v>135000</v>
      </c>
      <c r="BZ33" s="325">
        <f t="shared" si="7"/>
        <v>0</v>
      </c>
      <c r="CA33" s="325">
        <f t="shared" si="7"/>
        <v>0</v>
      </c>
      <c r="CB33" s="325">
        <f t="shared" si="7"/>
        <v>135000</v>
      </c>
      <c r="CC33" s="325">
        <f t="shared" si="7"/>
        <v>0</v>
      </c>
      <c r="CD33" s="325">
        <f t="shared" si="7"/>
        <v>0</v>
      </c>
      <c r="CE33" s="325">
        <f t="shared" si="7"/>
        <v>142500</v>
      </c>
      <c r="CF33" s="325">
        <f t="shared" si="7"/>
        <v>0</v>
      </c>
      <c r="CG33" s="325">
        <f t="shared" si="7"/>
        <v>0</v>
      </c>
      <c r="CH33" s="325">
        <f t="shared" si="7"/>
        <v>142500</v>
      </c>
      <c r="CI33" s="325">
        <f t="shared" si="7"/>
        <v>0</v>
      </c>
      <c r="CJ33" s="325">
        <f t="shared" si="7"/>
        <v>0</v>
      </c>
      <c r="CK33" s="325">
        <f t="shared" si="7"/>
        <v>142500</v>
      </c>
      <c r="CL33" s="325">
        <f t="shared" si="7"/>
        <v>0</v>
      </c>
      <c r="CM33" s="325">
        <f t="shared" si="7"/>
        <v>0</v>
      </c>
      <c r="CN33" s="325">
        <f t="shared" si="7"/>
        <v>142500</v>
      </c>
      <c r="CO33" s="325">
        <f t="shared" si="7"/>
        <v>0</v>
      </c>
      <c r="CP33" s="325">
        <f t="shared" si="7"/>
        <v>0</v>
      </c>
      <c r="CQ33" s="325">
        <f t="shared" si="7"/>
        <v>147500</v>
      </c>
      <c r="CR33" s="325">
        <f t="shared" si="7"/>
        <v>0</v>
      </c>
      <c r="CS33" s="325">
        <f t="shared" si="7"/>
        <v>0</v>
      </c>
      <c r="CT33" s="325">
        <f t="shared" si="7"/>
        <v>147500</v>
      </c>
      <c r="CU33" s="325">
        <f t="shared" si="7"/>
        <v>0</v>
      </c>
      <c r="CV33" s="325">
        <f t="shared" si="7"/>
        <v>0</v>
      </c>
      <c r="CW33" s="325">
        <f t="shared" si="7"/>
        <v>147500</v>
      </c>
      <c r="CX33" s="325">
        <f t="shared" si="7"/>
        <v>0</v>
      </c>
      <c r="CY33" s="325">
        <f t="shared" si="7"/>
        <v>0</v>
      </c>
      <c r="CZ33" s="325">
        <f t="shared" si="7"/>
        <v>147500</v>
      </c>
      <c r="DA33" s="325">
        <f t="shared" si="7"/>
        <v>0</v>
      </c>
      <c r="DB33" s="325">
        <f t="shared" si="7"/>
        <v>0</v>
      </c>
      <c r="DC33" s="325">
        <f t="shared" si="7"/>
        <v>165000</v>
      </c>
      <c r="DD33" s="325">
        <f t="shared" si="7"/>
        <v>0</v>
      </c>
      <c r="DE33" s="325">
        <f t="shared" si="7"/>
        <v>0</v>
      </c>
      <c r="DF33" s="325">
        <f t="shared" si="7"/>
        <v>165000</v>
      </c>
      <c r="DG33" s="325">
        <f t="shared" si="7"/>
        <v>0</v>
      </c>
      <c r="DH33" s="325">
        <f t="shared" si="7"/>
        <v>0</v>
      </c>
      <c r="DI33" s="325">
        <f t="shared" si="7"/>
        <v>165000</v>
      </c>
      <c r="DJ33" s="325">
        <f t="shared" si="7"/>
        <v>0</v>
      </c>
      <c r="DK33" s="325">
        <f t="shared" si="7"/>
        <v>0</v>
      </c>
      <c r="DL33" s="325">
        <f t="shared" si="7"/>
        <v>165000</v>
      </c>
      <c r="DM33" s="325">
        <f t="shared" si="7"/>
        <v>0</v>
      </c>
      <c r="DN33" s="325">
        <f t="shared" si="7"/>
        <v>0</v>
      </c>
      <c r="DO33" s="325">
        <f t="shared" si="7"/>
        <v>175000</v>
      </c>
      <c r="DP33" s="325">
        <f t="shared" si="7"/>
        <v>0</v>
      </c>
      <c r="DQ33" s="325">
        <f t="shared" si="7"/>
        <v>0</v>
      </c>
      <c r="DR33" s="325">
        <f t="shared" si="7"/>
        <v>14292884.101406716</v>
      </c>
    </row>
    <row r="34" spans="1:122" s="326" customFormat="1" ht="18" x14ac:dyDescent="0.2">
      <c r="A34" s="326" t="s">
        <v>195</v>
      </c>
      <c r="B34" s="327"/>
      <c r="C34" s="328">
        <f>IFERROR(C32/$B$31*4,0)</f>
        <v>0</v>
      </c>
      <c r="D34" s="328">
        <f t="shared" ref="D34:BO34" si="8">IFERROR(D32/$B$31*4,0)</f>
        <v>0</v>
      </c>
      <c r="E34" s="328">
        <f t="shared" si="8"/>
        <v>0</v>
      </c>
      <c r="F34" s="328">
        <f t="shared" si="8"/>
        <v>0</v>
      </c>
      <c r="G34" s="328">
        <f t="shared" si="8"/>
        <v>0</v>
      </c>
      <c r="H34" s="328">
        <f t="shared" si="8"/>
        <v>0</v>
      </c>
      <c r="I34" s="328">
        <f t="shared" si="8"/>
        <v>0</v>
      </c>
      <c r="J34" s="328">
        <f t="shared" si="8"/>
        <v>0</v>
      </c>
      <c r="K34" s="328">
        <f t="shared" si="8"/>
        <v>0.08</v>
      </c>
      <c r="L34" s="328">
        <f t="shared" si="8"/>
        <v>0</v>
      </c>
      <c r="M34" s="328">
        <f t="shared" si="8"/>
        <v>0</v>
      </c>
      <c r="N34" s="328">
        <f t="shared" si="8"/>
        <v>0.08</v>
      </c>
      <c r="O34" s="328">
        <f t="shared" si="8"/>
        <v>0</v>
      </c>
      <c r="P34" s="328">
        <f t="shared" si="8"/>
        <v>0</v>
      </c>
      <c r="Q34" s="328">
        <f t="shared" si="8"/>
        <v>0.08</v>
      </c>
      <c r="R34" s="328">
        <f t="shared" si="8"/>
        <v>0</v>
      </c>
      <c r="S34" s="328">
        <f t="shared" si="8"/>
        <v>0</v>
      </c>
      <c r="T34" s="328">
        <f t="shared" si="8"/>
        <v>0.08</v>
      </c>
      <c r="U34" s="328">
        <f t="shared" si="8"/>
        <v>0</v>
      </c>
      <c r="V34" s="328">
        <f t="shared" si="8"/>
        <v>0</v>
      </c>
      <c r="W34" s="328">
        <f t="shared" si="8"/>
        <v>8.4000000000000005E-2</v>
      </c>
      <c r="X34" s="328">
        <f t="shared" si="8"/>
        <v>0</v>
      </c>
      <c r="Y34" s="328">
        <f t="shared" si="8"/>
        <v>0</v>
      </c>
      <c r="Z34" s="328">
        <f t="shared" si="8"/>
        <v>8.4000000000000005E-2</v>
      </c>
      <c r="AA34" s="328">
        <f t="shared" si="8"/>
        <v>0</v>
      </c>
      <c r="AB34" s="328">
        <f t="shared" si="8"/>
        <v>0</v>
      </c>
      <c r="AC34" s="328">
        <f t="shared" si="8"/>
        <v>8.4000000000000005E-2</v>
      </c>
      <c r="AD34" s="328">
        <f t="shared" si="8"/>
        <v>0</v>
      </c>
      <c r="AE34" s="328">
        <f t="shared" si="8"/>
        <v>0</v>
      </c>
      <c r="AF34" s="328">
        <f t="shared" si="8"/>
        <v>8.4000000000000005E-2</v>
      </c>
      <c r="AG34" s="328">
        <f t="shared" si="8"/>
        <v>0</v>
      </c>
      <c r="AH34" s="328">
        <f t="shared" si="8"/>
        <v>0</v>
      </c>
      <c r="AI34" s="328">
        <f t="shared" si="8"/>
        <v>0.09</v>
      </c>
      <c r="AJ34" s="328">
        <f t="shared" si="8"/>
        <v>0</v>
      </c>
      <c r="AK34" s="328">
        <f t="shared" si="8"/>
        <v>0</v>
      </c>
      <c r="AL34" s="328">
        <f t="shared" si="8"/>
        <v>0.09</v>
      </c>
      <c r="AM34" s="328">
        <f t="shared" si="8"/>
        <v>0</v>
      </c>
      <c r="AN34" s="328">
        <f t="shared" si="8"/>
        <v>0</v>
      </c>
      <c r="AO34" s="328">
        <f t="shared" si="8"/>
        <v>0.09</v>
      </c>
      <c r="AP34" s="328">
        <f t="shared" si="8"/>
        <v>0</v>
      </c>
      <c r="AQ34" s="328">
        <f t="shared" si="8"/>
        <v>0</v>
      </c>
      <c r="AR34" s="328">
        <f t="shared" si="8"/>
        <v>0.09</v>
      </c>
      <c r="AS34" s="328">
        <f t="shared" si="8"/>
        <v>0</v>
      </c>
      <c r="AT34" s="328">
        <f t="shared" si="8"/>
        <v>0</v>
      </c>
      <c r="AU34" s="328">
        <f t="shared" si="8"/>
        <v>9.1999999999999998E-2</v>
      </c>
      <c r="AV34" s="328">
        <f t="shared" si="8"/>
        <v>0</v>
      </c>
      <c r="AW34" s="328">
        <f t="shared" si="8"/>
        <v>0</v>
      </c>
      <c r="AX34" s="328">
        <f t="shared" si="8"/>
        <v>9.1999999999999998E-2</v>
      </c>
      <c r="AY34" s="328">
        <f t="shared" si="8"/>
        <v>0</v>
      </c>
      <c r="AZ34" s="328">
        <f t="shared" si="8"/>
        <v>0</v>
      </c>
      <c r="BA34" s="328">
        <f t="shared" si="8"/>
        <v>9.1999999999999998E-2</v>
      </c>
      <c r="BB34" s="328">
        <f t="shared" si="8"/>
        <v>0</v>
      </c>
      <c r="BC34" s="328">
        <f t="shared" si="8"/>
        <v>0</v>
      </c>
      <c r="BD34" s="328">
        <f t="shared" si="8"/>
        <v>9.1999999999999998E-2</v>
      </c>
      <c r="BE34" s="328">
        <f t="shared" si="8"/>
        <v>0</v>
      </c>
      <c r="BF34" s="328">
        <f t="shared" si="8"/>
        <v>0</v>
      </c>
      <c r="BG34" s="328">
        <f t="shared" si="8"/>
        <v>0.104</v>
      </c>
      <c r="BH34" s="328">
        <f t="shared" si="8"/>
        <v>0</v>
      </c>
      <c r="BI34" s="328">
        <f t="shared" si="8"/>
        <v>0</v>
      </c>
      <c r="BJ34" s="328">
        <f t="shared" si="8"/>
        <v>0.104</v>
      </c>
      <c r="BK34" s="328">
        <f t="shared" si="8"/>
        <v>0</v>
      </c>
      <c r="BL34" s="328">
        <f t="shared" si="8"/>
        <v>0</v>
      </c>
      <c r="BM34" s="328">
        <f t="shared" si="8"/>
        <v>0.104</v>
      </c>
      <c r="BN34" s="328">
        <f t="shared" si="8"/>
        <v>0</v>
      </c>
      <c r="BO34" s="328">
        <f t="shared" si="8"/>
        <v>0</v>
      </c>
      <c r="BP34" s="328">
        <f t="shared" ref="BP34:DR34" si="9">IFERROR(BP32/$B$31*4,0)</f>
        <v>0.104</v>
      </c>
      <c r="BQ34" s="328">
        <f t="shared" si="9"/>
        <v>0</v>
      </c>
      <c r="BR34" s="328">
        <f t="shared" si="9"/>
        <v>0</v>
      </c>
      <c r="BS34" s="328">
        <f t="shared" si="9"/>
        <v>0.108</v>
      </c>
      <c r="BT34" s="328">
        <f t="shared" si="9"/>
        <v>0</v>
      </c>
      <c r="BU34" s="328">
        <f t="shared" si="9"/>
        <v>0</v>
      </c>
      <c r="BV34" s="328">
        <f t="shared" si="9"/>
        <v>0.108</v>
      </c>
      <c r="BW34" s="328">
        <f t="shared" si="9"/>
        <v>0</v>
      </c>
      <c r="BX34" s="328">
        <f t="shared" si="9"/>
        <v>0</v>
      </c>
      <c r="BY34" s="328">
        <f t="shared" si="9"/>
        <v>0.108</v>
      </c>
      <c r="BZ34" s="328">
        <f t="shared" si="9"/>
        <v>0</v>
      </c>
      <c r="CA34" s="328">
        <f t="shared" si="9"/>
        <v>0</v>
      </c>
      <c r="CB34" s="328">
        <f t="shared" si="9"/>
        <v>0.108</v>
      </c>
      <c r="CC34" s="328">
        <f t="shared" si="9"/>
        <v>0</v>
      </c>
      <c r="CD34" s="328">
        <f t="shared" si="9"/>
        <v>0</v>
      </c>
      <c r="CE34" s="328">
        <f t="shared" si="9"/>
        <v>0.114</v>
      </c>
      <c r="CF34" s="328">
        <f t="shared" si="9"/>
        <v>0</v>
      </c>
      <c r="CG34" s="328">
        <f t="shared" si="9"/>
        <v>0</v>
      </c>
      <c r="CH34" s="328">
        <f t="shared" si="9"/>
        <v>0.114</v>
      </c>
      <c r="CI34" s="328">
        <f t="shared" si="9"/>
        <v>0</v>
      </c>
      <c r="CJ34" s="328">
        <f t="shared" si="9"/>
        <v>0</v>
      </c>
      <c r="CK34" s="328">
        <f t="shared" si="9"/>
        <v>0.114</v>
      </c>
      <c r="CL34" s="328">
        <f t="shared" si="9"/>
        <v>0</v>
      </c>
      <c r="CM34" s="328">
        <f t="shared" si="9"/>
        <v>0</v>
      </c>
      <c r="CN34" s="328">
        <f t="shared" si="9"/>
        <v>0.114</v>
      </c>
      <c r="CO34" s="328">
        <f t="shared" si="9"/>
        <v>0</v>
      </c>
      <c r="CP34" s="328">
        <f t="shared" si="9"/>
        <v>0</v>
      </c>
      <c r="CQ34" s="328">
        <f t="shared" si="9"/>
        <v>0.11799999999999999</v>
      </c>
      <c r="CR34" s="328">
        <f t="shared" si="9"/>
        <v>0</v>
      </c>
      <c r="CS34" s="328">
        <f t="shared" si="9"/>
        <v>0</v>
      </c>
      <c r="CT34" s="328">
        <f t="shared" si="9"/>
        <v>0.11799999999999999</v>
      </c>
      <c r="CU34" s="328">
        <f t="shared" si="9"/>
        <v>0</v>
      </c>
      <c r="CV34" s="328">
        <f t="shared" si="9"/>
        <v>0</v>
      </c>
      <c r="CW34" s="328">
        <f t="shared" si="9"/>
        <v>0.11799999999999999</v>
      </c>
      <c r="CX34" s="328">
        <f t="shared" si="9"/>
        <v>0</v>
      </c>
      <c r="CY34" s="328">
        <f t="shared" si="9"/>
        <v>0</v>
      </c>
      <c r="CZ34" s="328">
        <f t="shared" si="9"/>
        <v>0.11799999999999999</v>
      </c>
      <c r="DA34" s="328">
        <f t="shared" si="9"/>
        <v>0</v>
      </c>
      <c r="DB34" s="328">
        <f t="shared" si="9"/>
        <v>0</v>
      </c>
      <c r="DC34" s="328">
        <f t="shared" si="9"/>
        <v>0.13200000000000001</v>
      </c>
      <c r="DD34" s="328">
        <f t="shared" si="9"/>
        <v>0</v>
      </c>
      <c r="DE34" s="328">
        <f t="shared" si="9"/>
        <v>0</v>
      </c>
      <c r="DF34" s="328">
        <f t="shared" si="9"/>
        <v>0.13200000000000001</v>
      </c>
      <c r="DG34" s="328">
        <f t="shared" si="9"/>
        <v>0</v>
      </c>
      <c r="DH34" s="328">
        <f t="shared" si="9"/>
        <v>0</v>
      </c>
      <c r="DI34" s="328">
        <f t="shared" si="9"/>
        <v>0.13200000000000001</v>
      </c>
      <c r="DJ34" s="328">
        <f t="shared" si="9"/>
        <v>0</v>
      </c>
      <c r="DK34" s="328">
        <f t="shared" si="9"/>
        <v>0</v>
      </c>
      <c r="DL34" s="328">
        <f t="shared" si="9"/>
        <v>0.13200000000000001</v>
      </c>
      <c r="DM34" s="328">
        <f t="shared" si="9"/>
        <v>0</v>
      </c>
      <c r="DN34" s="328">
        <f t="shared" si="9"/>
        <v>0</v>
      </c>
      <c r="DO34" s="328">
        <f t="shared" si="9"/>
        <v>0.14000000000000001</v>
      </c>
      <c r="DP34" s="328">
        <f t="shared" si="9"/>
        <v>0</v>
      </c>
      <c r="DQ34" s="328">
        <f t="shared" si="9"/>
        <v>0</v>
      </c>
      <c r="DR34" s="328">
        <f t="shared" si="9"/>
        <v>0.14000000000000001</v>
      </c>
    </row>
    <row r="35" spans="1:122" s="316" customFormat="1" ht="18" x14ac:dyDescent="0.2">
      <c r="B35" s="329"/>
      <c r="C35" s="329">
        <v>1</v>
      </c>
      <c r="D35" s="329">
        <v>2</v>
      </c>
      <c r="E35" s="329">
        <f>D35+1</f>
        <v>3</v>
      </c>
      <c r="F35" s="329">
        <f t="shared" ref="F35:L35" si="10">E35+1</f>
        <v>4</v>
      </c>
      <c r="G35" s="329">
        <f t="shared" si="10"/>
        <v>5</v>
      </c>
      <c r="H35" s="329">
        <f t="shared" si="10"/>
        <v>6</v>
      </c>
      <c r="I35" s="329">
        <f t="shared" si="10"/>
        <v>7</v>
      </c>
      <c r="J35" s="329">
        <f t="shared" si="10"/>
        <v>8</v>
      </c>
      <c r="K35" s="329">
        <f t="shared" si="10"/>
        <v>9</v>
      </c>
      <c r="L35" s="329">
        <f t="shared" si="10"/>
        <v>10</v>
      </c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</row>
    <row r="36" spans="1:122" s="316" customFormat="1" ht="18" x14ac:dyDescent="0.2">
      <c r="A36" s="322" t="s">
        <v>231</v>
      </c>
      <c r="B36" s="323" t="s">
        <v>231</v>
      </c>
      <c r="C36" s="330">
        <f>EOMONTH(B30,12)</f>
        <v>46387</v>
      </c>
      <c r="D36" s="330">
        <f>EOMONTH(C36,12)</f>
        <v>46752</v>
      </c>
      <c r="E36" s="330">
        <f t="shared" ref="E36:L36" si="11">EOMONTH(D36,12)</f>
        <v>47118</v>
      </c>
      <c r="F36" s="330">
        <f t="shared" si="11"/>
        <v>47483</v>
      </c>
      <c r="G36" s="330">
        <f t="shared" si="11"/>
        <v>47848</v>
      </c>
      <c r="H36" s="330">
        <f t="shared" si="11"/>
        <v>48213</v>
      </c>
      <c r="I36" s="330">
        <f t="shared" si="11"/>
        <v>48579</v>
      </c>
      <c r="J36" s="330">
        <f t="shared" si="11"/>
        <v>48944</v>
      </c>
      <c r="K36" s="330">
        <f t="shared" si="11"/>
        <v>49309</v>
      </c>
      <c r="L36" s="330">
        <f t="shared" si="11"/>
        <v>49674</v>
      </c>
    </row>
    <row r="37" spans="1:122" s="316" customFormat="1" ht="18" x14ac:dyDescent="0.2">
      <c r="A37" s="322" t="s">
        <v>16</v>
      </c>
      <c r="B37" s="323" t="s">
        <v>16</v>
      </c>
      <c r="C37" s="323">
        <v>12</v>
      </c>
      <c r="D37" s="323">
        <f>C37+12</f>
        <v>24</v>
      </c>
      <c r="E37" s="323">
        <f t="shared" ref="E37:L37" si="12">D37+12</f>
        <v>36</v>
      </c>
      <c r="F37" s="323">
        <f t="shared" si="12"/>
        <v>48</v>
      </c>
      <c r="G37" s="323">
        <f t="shared" si="12"/>
        <v>60</v>
      </c>
      <c r="H37" s="323">
        <f t="shared" si="12"/>
        <v>72</v>
      </c>
      <c r="I37" s="323">
        <f t="shared" si="12"/>
        <v>84</v>
      </c>
      <c r="J37" s="323">
        <f t="shared" si="12"/>
        <v>96</v>
      </c>
      <c r="K37" s="323">
        <f t="shared" si="12"/>
        <v>108</v>
      </c>
      <c r="L37" s="323">
        <f t="shared" si="12"/>
        <v>120</v>
      </c>
      <c r="DR37" s="331"/>
    </row>
    <row r="38" spans="1:122" s="316" customFormat="1" ht="18" x14ac:dyDescent="0.2">
      <c r="A38" s="322" t="s">
        <v>228</v>
      </c>
      <c r="B38" s="323" t="s">
        <v>232</v>
      </c>
      <c r="C38" s="323" t="s">
        <v>233</v>
      </c>
      <c r="D38" s="323" t="s">
        <v>234</v>
      </c>
      <c r="E38" s="323" t="s">
        <v>235</v>
      </c>
      <c r="F38" s="323" t="s">
        <v>236</v>
      </c>
      <c r="G38" s="323" t="s">
        <v>237</v>
      </c>
      <c r="H38" s="323" t="s">
        <v>238</v>
      </c>
      <c r="I38" s="323" t="s">
        <v>239</v>
      </c>
      <c r="J38" s="323" t="s">
        <v>240</v>
      </c>
      <c r="K38" s="323" t="s">
        <v>241</v>
      </c>
      <c r="L38" s="323" t="s">
        <v>242</v>
      </c>
    </row>
    <row r="39" spans="1:122" s="316" customFormat="1" ht="18" x14ac:dyDescent="0.2">
      <c r="A39" s="322" t="str">
        <f>A31</f>
        <v xml:space="preserve">Стоимость доли </v>
      </c>
      <c r="B39" s="321">
        <f>B31/1000</f>
        <v>5000</v>
      </c>
      <c r="C39" s="321">
        <f>HLOOKUP(C$37,$B$29:$DR$31,3,FALSE)/1000</f>
        <v>5875</v>
      </c>
      <c r="D39" s="321">
        <f t="shared" ref="D39:K39" si="13">HLOOKUP(D$37,$B$29:$DR$31,3,FALSE)/1000</f>
        <v>6415.3964266148405</v>
      </c>
      <c r="E39" s="321">
        <f t="shared" si="13"/>
        <v>7050.1468228083431</v>
      </c>
      <c r="F39" s="321">
        <f>HLOOKUP(F$37,$B$29:$DR$31,3,FALSE)/1000</f>
        <v>7774.4658125629703</v>
      </c>
      <c r="G39" s="321">
        <f t="shared" si="13"/>
        <v>8584.425011183188</v>
      </c>
      <c r="H39" s="321">
        <f>HLOOKUP(H$37,$B$29:$DR$31,3,FALSE)/1000</f>
        <v>9487.2063733720661</v>
      </c>
      <c r="I39" s="321">
        <f t="shared" si="13"/>
        <v>10477.801667737589</v>
      </c>
      <c r="J39" s="321">
        <f t="shared" si="13"/>
        <v>11566.098013348754</v>
      </c>
      <c r="K39" s="321">
        <f t="shared" si="13"/>
        <v>12777.160727696019</v>
      </c>
      <c r="L39" s="321">
        <f>HLOOKUP(L$37,$B$29:$DR$31,3,FALSE)/1000</f>
        <v>14117.884101406717</v>
      </c>
      <c r="N39" s="331"/>
    </row>
    <row r="40" spans="1:122" s="316" customFormat="1" ht="18" x14ac:dyDescent="0.2">
      <c r="A40" s="322" t="s">
        <v>59</v>
      </c>
      <c r="B40" s="321">
        <f>B32</f>
        <v>0</v>
      </c>
      <c r="C40" s="321">
        <f>SUMIF($C$28:$DR$28,C$35,$C$32:$DR$32)/1000</f>
        <v>200</v>
      </c>
      <c r="D40" s="321">
        <f>SUMIF($C$28:$DR$28,D$35,$C$32:$DR$32)/1000</f>
        <v>410</v>
      </c>
      <c r="E40" s="321">
        <f t="shared" ref="E40:K40" si="14">SUMIF($C$28:$DR$28,E$35,$C$32:$DR$32)/1000</f>
        <v>435</v>
      </c>
      <c r="F40" s="321">
        <f t="shared" si="14"/>
        <v>455</v>
      </c>
      <c r="G40" s="321">
        <f t="shared" si="14"/>
        <v>490</v>
      </c>
      <c r="H40" s="321">
        <f t="shared" si="14"/>
        <v>530</v>
      </c>
      <c r="I40" s="321">
        <f t="shared" si="14"/>
        <v>555</v>
      </c>
      <c r="J40" s="321">
        <f t="shared" si="14"/>
        <v>580</v>
      </c>
      <c r="K40" s="321">
        <f t="shared" si="14"/>
        <v>625</v>
      </c>
      <c r="L40" s="321">
        <f>SUMIF($C$28:$DR$28,L$35,$C$32:$DR$32)/1000</f>
        <v>680</v>
      </c>
      <c r="M40" s="332"/>
      <c r="N40" s="333"/>
    </row>
    <row r="41" spans="1:122" s="316" customFormat="1" ht="18" x14ac:dyDescent="0.2">
      <c r="A41" s="322"/>
      <c r="B41" s="321"/>
      <c r="C41" s="321"/>
      <c r="D41" s="334"/>
      <c r="E41" s="334"/>
      <c r="F41" s="334"/>
      <c r="G41" s="334"/>
      <c r="H41" s="334"/>
      <c r="I41" s="334"/>
      <c r="J41" s="334"/>
      <c r="K41" s="334"/>
      <c r="L41" s="334"/>
      <c r="M41" s="332"/>
      <c r="N41" s="335"/>
    </row>
    <row r="42" spans="1:122" s="316" customFormat="1" ht="18" x14ac:dyDescent="0.2">
      <c r="A42" s="322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</row>
    <row r="43" spans="1:122" s="177" customFormat="1" ht="18" x14ac:dyDescent="0.2">
      <c r="A43" s="178"/>
      <c r="B43" s="181"/>
      <c r="C43" s="181"/>
      <c r="D43" s="181"/>
      <c r="E43" s="181"/>
      <c r="G43" s="181"/>
      <c r="H43" s="181"/>
      <c r="I43" s="181"/>
      <c r="J43" s="181"/>
      <c r="K43" s="181"/>
      <c r="L43" s="181"/>
      <c r="M43" s="181"/>
      <c r="N43" s="181"/>
    </row>
    <row r="44" spans="1:122" s="177" customFormat="1" ht="18" x14ac:dyDescent="0.2">
      <c r="A44" s="178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1:122" s="177" customFormat="1" ht="18" x14ac:dyDescent="0.2">
      <c r="A45" s="178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</row>
    <row r="46" spans="1:122" s="177" customFormat="1" ht="18" x14ac:dyDescent="0.2">
      <c r="A46" s="178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1:122" s="177" customFormat="1" ht="18" x14ac:dyDescent="0.2">
      <c r="A47" s="178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1:122" s="177" customFormat="1" ht="18" x14ac:dyDescent="0.2">
      <c r="A48" s="178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s="177" customFormat="1" ht="18" x14ac:dyDescent="0.2">
      <c r="A49" s="178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s="177" customFormat="1" ht="18" x14ac:dyDescent="0.2">
      <c r="A50" s="178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 s="177" customFormat="1" ht="18" x14ac:dyDescent="0.2">
      <c r="A51" s="178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</row>
    <row r="52" spans="1:14" s="177" customFormat="1" ht="18" x14ac:dyDescent="0.2">
      <c r="A52" s="178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</row>
    <row r="53" spans="1:14" s="177" customFormat="1" ht="18" x14ac:dyDescent="0.2">
      <c r="A53" s="178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</row>
    <row r="54" spans="1:14" s="177" customFormat="1" ht="18" x14ac:dyDescent="0.2">
      <c r="A54" s="178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</row>
    <row r="55" spans="1:14" s="177" customFormat="1" ht="18" x14ac:dyDescent="0.2">
      <c r="A55" s="178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</row>
    <row r="56" spans="1:14" s="177" customFormat="1" ht="18" x14ac:dyDescent="0.2">
      <c r="A56" s="178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</row>
    <row r="57" spans="1:14" s="177" customFormat="1" ht="18" x14ac:dyDescent="0.2">
      <c r="A57" s="178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</row>
    <row r="58" spans="1:14" s="177" customFormat="1" ht="18" x14ac:dyDescent="0.2">
      <c r="A58" s="178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1:14" s="177" customFormat="1" ht="18" x14ac:dyDescent="0.2">
      <c r="A59" s="178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</row>
    <row r="60" spans="1:14" s="177" customFormat="1" ht="18" x14ac:dyDescent="0.2">
      <c r="A60" s="178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</row>
    <row r="61" spans="1:14" s="177" customFormat="1" ht="18" x14ac:dyDescent="0.2">
      <c r="A61" s="178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</row>
    <row r="62" spans="1:14" s="177" customFormat="1" ht="18" x14ac:dyDescent="0.2">
      <c r="A62" s="178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</row>
    <row r="63" spans="1:14" s="177" customFormat="1" ht="18" x14ac:dyDescent="0.2">
      <c r="A63" s="178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</row>
    <row r="64" spans="1:14" s="177" customFormat="1" ht="18" x14ac:dyDescent="0.2">
      <c r="A64" s="178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</row>
    <row r="65" spans="1:15" s="177" customFormat="1" ht="18" x14ac:dyDescent="0.2">
      <c r="A65" s="178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</row>
    <row r="66" spans="1:15" s="177" customFormat="1" ht="18" x14ac:dyDescent="0.2">
      <c r="A66" s="178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</row>
    <row r="67" spans="1:15" s="177" customFormat="1" ht="18" x14ac:dyDescent="0.2">
      <c r="A67" s="178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</row>
    <row r="68" spans="1:15" s="177" customFormat="1" ht="18" x14ac:dyDescent="0.2">
      <c r="A68" s="178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</row>
    <row r="69" spans="1:15" s="177" customFormat="1" ht="18" x14ac:dyDescent="0.2">
      <c r="A69" s="178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</row>
    <row r="70" spans="1:15" ht="16" x14ac:dyDescent="0.2">
      <c r="C70" s="214"/>
      <c r="D70" s="214"/>
      <c r="E70" s="214"/>
      <c r="F70" s="214"/>
      <c r="G70" s="214"/>
      <c r="H70" s="214"/>
      <c r="I70" s="214"/>
    </row>
    <row r="71" spans="1:15" ht="16" x14ac:dyDescent="0.2">
      <c r="C71" s="214"/>
      <c r="D71" s="214"/>
      <c r="E71" s="214"/>
      <c r="F71" s="214"/>
      <c r="G71" s="214"/>
      <c r="H71" s="214"/>
      <c r="I71" s="214"/>
    </row>
    <row r="72" spans="1:15" ht="16" x14ac:dyDescent="0.2">
      <c r="C72" s="214"/>
      <c r="D72" s="214"/>
      <c r="E72" s="214"/>
      <c r="F72" s="214"/>
      <c r="G72" s="214"/>
      <c r="H72" s="214"/>
      <c r="I72" s="214"/>
    </row>
    <row r="73" spans="1:15" ht="16" x14ac:dyDescent="0.2">
      <c r="C73" s="214"/>
      <c r="D73" s="214"/>
      <c r="E73" s="214"/>
      <c r="F73" s="214"/>
      <c r="G73" s="214"/>
      <c r="H73" s="214"/>
      <c r="I73" s="214"/>
    </row>
    <row r="74" spans="1:15" ht="16" x14ac:dyDescent="0.2">
      <c r="C74" s="214"/>
      <c r="D74" s="214"/>
      <c r="E74" s="214"/>
      <c r="F74" s="214"/>
      <c r="G74" s="214"/>
      <c r="H74" s="214"/>
      <c r="I74" s="214"/>
    </row>
    <row r="75" spans="1:15" ht="18" x14ac:dyDescent="0.2">
      <c r="A75" s="210" t="s">
        <v>228</v>
      </c>
      <c r="B75" s="212" t="s">
        <v>232</v>
      </c>
      <c r="C75" s="212" t="s">
        <v>233</v>
      </c>
      <c r="D75" s="212" t="s">
        <v>234</v>
      </c>
      <c r="E75" s="212" t="s">
        <v>235</v>
      </c>
      <c r="F75" s="212" t="s">
        <v>236</v>
      </c>
      <c r="G75" s="212" t="s">
        <v>237</v>
      </c>
      <c r="H75" s="212" t="s">
        <v>238</v>
      </c>
      <c r="I75" s="212" t="s">
        <v>239</v>
      </c>
      <c r="J75" s="212" t="s">
        <v>240</v>
      </c>
      <c r="K75" s="212" t="s">
        <v>241</v>
      </c>
      <c r="L75" s="212" t="s">
        <v>242</v>
      </c>
    </row>
    <row r="76" spans="1:15" ht="18" x14ac:dyDescent="0.2">
      <c r="A76" s="178" t="s">
        <v>229</v>
      </c>
      <c r="B76" s="181">
        <v>1000</v>
      </c>
      <c r="C76" s="181">
        <v>1175</v>
      </c>
      <c r="D76" s="181">
        <v>1283.0792853229682</v>
      </c>
      <c r="E76" s="181">
        <v>1410.0293645616687</v>
      </c>
      <c r="F76" s="181">
        <v>1554.8931625125942</v>
      </c>
      <c r="G76" s="181">
        <v>1716.8850022366375</v>
      </c>
      <c r="H76" s="181">
        <v>1897.4412746744133</v>
      </c>
      <c r="I76" s="181">
        <v>2095.560333547518</v>
      </c>
      <c r="J76" s="181">
        <v>2313.2196026697507</v>
      </c>
      <c r="K76" s="181">
        <v>2555.4321455392037</v>
      </c>
      <c r="L76" s="181">
        <v>2823.5768202813433</v>
      </c>
      <c r="O76" s="213"/>
    </row>
    <row r="77" spans="1:15" ht="18" x14ac:dyDescent="0.2">
      <c r="A77" s="178" t="s">
        <v>59</v>
      </c>
      <c r="B77" s="181">
        <v>0</v>
      </c>
      <c r="C77" s="181">
        <v>40</v>
      </c>
      <c r="D77" s="181">
        <v>82</v>
      </c>
      <c r="E77" s="181">
        <v>87</v>
      </c>
      <c r="F77" s="181">
        <v>91</v>
      </c>
      <c r="G77" s="181">
        <v>98</v>
      </c>
      <c r="H77" s="181">
        <v>106</v>
      </c>
      <c r="I77" s="181">
        <v>111</v>
      </c>
      <c r="J77" s="181">
        <v>116</v>
      </c>
      <c r="K77" s="181">
        <v>125</v>
      </c>
      <c r="L77" s="181">
        <v>136</v>
      </c>
    </row>
    <row r="78" spans="1:15" ht="16" x14ac:dyDescent="0.2">
      <c r="C78" s="214"/>
      <c r="D78" s="214"/>
      <c r="E78" s="214"/>
      <c r="F78" s="214"/>
      <c r="G78" s="214"/>
      <c r="H78" s="214"/>
      <c r="I78" s="214"/>
    </row>
    <row r="79" spans="1:15" ht="16" x14ac:dyDescent="0.2">
      <c r="C79" s="214"/>
      <c r="D79" s="214"/>
      <c r="E79" s="214"/>
      <c r="F79" s="214"/>
      <c r="G79" s="214"/>
      <c r="H79" s="214"/>
      <c r="I79" s="214"/>
    </row>
    <row r="80" spans="1:15" ht="16" x14ac:dyDescent="0.2">
      <c r="C80" s="214"/>
      <c r="D80" s="214"/>
      <c r="E80" s="214"/>
      <c r="F80" s="214"/>
      <c r="G80" s="214"/>
      <c r="H80" s="214"/>
      <c r="I80" s="214"/>
    </row>
    <row r="81" spans="1:15" ht="16" x14ac:dyDescent="0.2">
      <c r="C81" s="214"/>
      <c r="D81" s="214"/>
      <c r="E81" s="214"/>
      <c r="F81" s="214"/>
      <c r="G81" s="214"/>
      <c r="H81" s="214"/>
      <c r="I81" s="214"/>
    </row>
    <row r="82" spans="1:15" ht="16" x14ac:dyDescent="0.2">
      <c r="C82" s="214"/>
      <c r="D82" s="214"/>
      <c r="E82" s="214"/>
      <c r="F82" s="214"/>
      <c r="G82" s="214"/>
      <c r="H82" s="214"/>
      <c r="I82" s="214"/>
    </row>
    <row r="83" spans="1:15" ht="16" x14ac:dyDescent="0.2">
      <c r="C83" s="214"/>
      <c r="D83" s="214"/>
      <c r="E83" s="214"/>
      <c r="F83" s="214"/>
      <c r="G83" s="214"/>
      <c r="H83" s="214"/>
      <c r="I83" s="214"/>
    </row>
    <row r="84" spans="1:15" ht="18" x14ac:dyDescent="0.2">
      <c r="A84" s="210" t="s">
        <v>228</v>
      </c>
      <c r="B84" s="212" t="s">
        <v>232</v>
      </c>
      <c r="C84" s="212" t="s">
        <v>233</v>
      </c>
      <c r="D84" s="212" t="s">
        <v>234</v>
      </c>
      <c r="E84" s="212" t="s">
        <v>235</v>
      </c>
      <c r="F84" s="212" t="s">
        <v>236</v>
      </c>
      <c r="G84" s="212" t="s">
        <v>237</v>
      </c>
      <c r="H84" s="212" t="s">
        <v>238</v>
      </c>
      <c r="I84" s="212" t="s">
        <v>239</v>
      </c>
      <c r="J84" s="212" t="s">
        <v>240</v>
      </c>
      <c r="K84" s="212" t="s">
        <v>241</v>
      </c>
      <c r="L84" s="212" t="s">
        <v>242</v>
      </c>
    </row>
    <row r="85" spans="1:15" ht="18" x14ac:dyDescent="0.2">
      <c r="A85" s="178" t="s">
        <v>229</v>
      </c>
      <c r="B85" s="181">
        <v>1000</v>
      </c>
      <c r="C85" s="181">
        <v>1175</v>
      </c>
      <c r="D85" s="181">
        <v>1555.2589584725299</v>
      </c>
      <c r="E85" s="181">
        <v>1792.4376078233211</v>
      </c>
      <c r="F85" s="181">
        <v>2073.6989929229558</v>
      </c>
      <c r="G85" s="181">
        <v>2403.7450156612167</v>
      </c>
      <c r="H85" s="181">
        <v>2780.3666477312026</v>
      </c>
      <c r="I85" s="181">
        <v>3209.5218969666148</v>
      </c>
      <c r="J85" s="181">
        <v>3708.778242766793</v>
      </c>
      <c r="K85" s="181">
        <v>4280.0903627019707</v>
      </c>
      <c r="L85" s="181">
        <v>4940.3572525665177</v>
      </c>
    </row>
    <row r="86" spans="1:15" ht="18" x14ac:dyDescent="0.2">
      <c r="A86" s="178" t="s">
        <v>59</v>
      </c>
      <c r="B86" s="181">
        <v>0</v>
      </c>
      <c r="C86" s="181">
        <v>40</v>
      </c>
      <c r="D86" s="181">
        <v>87</v>
      </c>
      <c r="E86" s="181">
        <v>97</v>
      </c>
      <c r="F86" s="181">
        <v>104</v>
      </c>
      <c r="G86" s="181">
        <v>114</v>
      </c>
      <c r="H86" s="181">
        <v>129</v>
      </c>
      <c r="I86" s="181">
        <v>142</v>
      </c>
      <c r="J86" s="181">
        <v>158</v>
      </c>
      <c r="K86" s="181">
        <v>185</v>
      </c>
      <c r="L86" s="181">
        <v>210</v>
      </c>
      <c r="O86" s="213"/>
    </row>
    <row r="87" spans="1:15" ht="16" x14ac:dyDescent="0.2">
      <c r="C87" s="214"/>
      <c r="D87" s="214"/>
      <c r="E87" s="214"/>
      <c r="F87" s="214"/>
      <c r="G87" s="214"/>
      <c r="H87" s="214"/>
      <c r="I87" s="214"/>
      <c r="O87" s="213"/>
    </row>
    <row r="88" spans="1:15" ht="16" x14ac:dyDescent="0.2">
      <c r="C88" s="214"/>
      <c r="D88" s="214"/>
      <c r="E88" s="214"/>
      <c r="F88" s="214"/>
      <c r="G88" s="214"/>
      <c r="H88" s="214"/>
      <c r="I88" s="214"/>
    </row>
    <row r="89" spans="1:15" ht="16" x14ac:dyDescent="0.2">
      <c r="C89" s="214"/>
      <c r="D89" s="214"/>
      <c r="E89" s="214"/>
      <c r="F89" s="214"/>
      <c r="G89" s="214"/>
      <c r="H89" s="214"/>
      <c r="I89" s="214"/>
    </row>
    <row r="90" spans="1:15" ht="16" x14ac:dyDescent="0.2">
      <c r="C90" s="214"/>
      <c r="D90" s="214"/>
      <c r="E90" s="214"/>
      <c r="F90" s="214"/>
      <c r="G90" s="214"/>
      <c r="H90" s="214"/>
      <c r="I90" s="214"/>
    </row>
    <row r="91" spans="1:15" ht="18" x14ac:dyDescent="0.2">
      <c r="A91" s="210" t="s">
        <v>262</v>
      </c>
      <c r="B91" s="212" t="s">
        <v>232</v>
      </c>
      <c r="C91" s="212" t="s">
        <v>233</v>
      </c>
      <c r="D91" s="212" t="s">
        <v>234</v>
      </c>
      <c r="E91" s="212" t="s">
        <v>235</v>
      </c>
      <c r="F91" s="212" t="s">
        <v>236</v>
      </c>
      <c r="G91" s="212" t="s">
        <v>237</v>
      </c>
      <c r="H91" s="212" t="s">
        <v>238</v>
      </c>
      <c r="I91" s="212" t="s">
        <v>239</v>
      </c>
      <c r="J91" s="212" t="s">
        <v>240</v>
      </c>
      <c r="K91" s="212" t="s">
        <v>241</v>
      </c>
      <c r="L91" s="212" t="s">
        <v>242</v>
      </c>
    </row>
    <row r="92" spans="1:15" ht="18" x14ac:dyDescent="0.2">
      <c r="A92" s="178" t="s">
        <v>229</v>
      </c>
      <c r="B92" s="181">
        <v>1000</v>
      </c>
      <c r="C92" s="181">
        <v>1175</v>
      </c>
      <c r="D92" s="181">
        <v>1175</v>
      </c>
      <c r="E92" s="181">
        <v>1190.9268869416851</v>
      </c>
      <c r="F92" s="181">
        <v>1274.7641351597781</v>
      </c>
      <c r="G92" s="181">
        <v>1368.416827924209</v>
      </c>
      <c r="H92" s="181">
        <v>1473.7256096307087</v>
      </c>
      <c r="I92" s="181">
        <v>1589.5903348180814</v>
      </c>
      <c r="J92" s="181">
        <v>1705.1866186410157</v>
      </c>
      <c r="K92" s="181">
        <v>1824.6715803178156</v>
      </c>
      <c r="L92" s="181">
        <v>1955.7022542701156</v>
      </c>
    </row>
    <row r="93" spans="1:15" ht="18" x14ac:dyDescent="0.2">
      <c r="A93" s="178" t="s">
        <v>59</v>
      </c>
      <c r="B93" s="181">
        <v>0</v>
      </c>
      <c r="C93" s="181">
        <v>40</v>
      </c>
      <c r="D93" s="181">
        <v>80</v>
      </c>
      <c r="E93" s="181">
        <v>80</v>
      </c>
      <c r="F93" s="181">
        <v>81</v>
      </c>
      <c r="G93" s="181">
        <v>83</v>
      </c>
      <c r="H93" s="181">
        <v>84</v>
      </c>
      <c r="I93" s="181">
        <v>87</v>
      </c>
      <c r="J93" s="181">
        <v>96</v>
      </c>
      <c r="K93" s="181">
        <v>102</v>
      </c>
      <c r="L93" s="181">
        <v>106</v>
      </c>
    </row>
    <row r="94" spans="1:15" ht="16" x14ac:dyDescent="0.2">
      <c r="C94" s="214"/>
      <c r="D94" s="214"/>
      <c r="E94" s="214"/>
      <c r="F94" s="214"/>
      <c r="G94" s="214"/>
      <c r="H94" s="214"/>
      <c r="I94" s="214"/>
    </row>
    <row r="95" spans="1:15" ht="16" x14ac:dyDescent="0.2">
      <c r="C95" s="214"/>
      <c r="D95" s="214"/>
      <c r="E95" s="214"/>
      <c r="F95" s="214"/>
      <c r="G95" s="214"/>
      <c r="H95" s="214"/>
      <c r="I95" s="214"/>
    </row>
    <row r="96" spans="1:15" ht="16" x14ac:dyDescent="0.2">
      <c r="C96" s="214"/>
      <c r="D96" s="214"/>
      <c r="E96" s="214"/>
      <c r="F96" s="214"/>
      <c r="G96" s="214"/>
      <c r="H96" s="214"/>
      <c r="I96" s="214"/>
    </row>
    <row r="97" spans="3:9" ht="16" x14ac:dyDescent="0.2">
      <c r="C97" s="214"/>
      <c r="D97" s="214"/>
      <c r="E97" s="214"/>
      <c r="F97" s="214"/>
      <c r="G97" s="214"/>
      <c r="H97" s="214"/>
      <c r="I97" s="214"/>
    </row>
    <row r="98" spans="3:9" ht="16" x14ac:dyDescent="0.2">
      <c r="C98" s="214"/>
      <c r="D98" s="214"/>
      <c r="E98" s="214"/>
      <c r="F98" s="214"/>
      <c r="G98" s="214"/>
      <c r="H98" s="214"/>
      <c r="I98" s="214"/>
    </row>
    <row r="99" spans="3:9" ht="16" x14ac:dyDescent="0.2">
      <c r="C99" s="214"/>
      <c r="D99" s="214"/>
      <c r="E99" s="214"/>
      <c r="F99" s="214"/>
      <c r="G99" s="214"/>
      <c r="H99" s="214"/>
      <c r="I99" s="214"/>
    </row>
    <row r="100" spans="3:9" ht="16" x14ac:dyDescent="0.2">
      <c r="C100" s="214"/>
      <c r="D100" s="214"/>
      <c r="E100" s="214"/>
      <c r="F100" s="214"/>
      <c r="G100" s="214"/>
      <c r="H100" s="214"/>
      <c r="I100" s="214"/>
    </row>
    <row r="101" spans="3:9" ht="16" x14ac:dyDescent="0.2">
      <c r="C101" s="214"/>
      <c r="D101" s="214"/>
      <c r="E101" s="214"/>
      <c r="F101" s="214"/>
      <c r="G101" s="214"/>
      <c r="H101" s="214"/>
      <c r="I101" s="214"/>
    </row>
    <row r="102" spans="3:9" ht="16" x14ac:dyDescent="0.2">
      <c r="C102" s="214"/>
      <c r="D102" s="214"/>
      <c r="E102" s="214"/>
      <c r="F102" s="214"/>
      <c r="G102" s="214"/>
      <c r="H102" s="214"/>
      <c r="I102" s="214"/>
    </row>
    <row r="103" spans="3:9" ht="16" x14ac:dyDescent="0.2">
      <c r="C103" s="214"/>
      <c r="D103" s="214"/>
      <c r="E103" s="214"/>
      <c r="F103" s="214"/>
      <c r="G103" s="214"/>
      <c r="H103" s="214"/>
      <c r="I103" s="214"/>
    </row>
    <row r="104" spans="3:9" ht="16" x14ac:dyDescent="0.2">
      <c r="C104" s="214"/>
      <c r="D104" s="214"/>
      <c r="E104" s="214"/>
      <c r="F104" s="214"/>
      <c r="G104" s="214"/>
      <c r="H104" s="214"/>
      <c r="I104" s="214"/>
    </row>
    <row r="105" spans="3:9" ht="16" x14ac:dyDescent="0.2">
      <c r="C105" s="214"/>
      <c r="D105" s="214"/>
      <c r="E105" s="214"/>
      <c r="F105" s="214"/>
      <c r="G105" s="214"/>
      <c r="H105" s="214"/>
      <c r="I105" s="214"/>
    </row>
    <row r="106" spans="3:9" ht="16" x14ac:dyDescent="0.2">
      <c r="C106" s="214"/>
      <c r="D106" s="214"/>
      <c r="E106" s="214"/>
      <c r="F106" s="214"/>
      <c r="G106" s="214"/>
      <c r="H106" s="214"/>
      <c r="I106" s="214"/>
    </row>
    <row r="107" spans="3:9" ht="16" x14ac:dyDescent="0.2">
      <c r="C107" s="214"/>
      <c r="D107" s="214"/>
      <c r="E107" s="214"/>
      <c r="F107" s="214"/>
      <c r="G107" s="214"/>
      <c r="H107" s="214"/>
      <c r="I107" s="214"/>
    </row>
    <row r="108" spans="3:9" ht="16" x14ac:dyDescent="0.2">
      <c r="C108" s="214"/>
      <c r="D108" s="214"/>
      <c r="E108" s="214"/>
      <c r="F108" s="214"/>
      <c r="G108" s="214"/>
      <c r="H108" s="214"/>
      <c r="I108" s="214"/>
    </row>
    <row r="109" spans="3:9" ht="16" x14ac:dyDescent="0.2">
      <c r="C109" s="214"/>
      <c r="D109" s="214"/>
      <c r="E109" s="214"/>
      <c r="F109" s="214"/>
      <c r="G109" s="214"/>
      <c r="H109" s="214"/>
      <c r="I109" s="214"/>
    </row>
    <row r="110" spans="3:9" ht="16" x14ac:dyDescent="0.2">
      <c r="C110" s="214"/>
      <c r="D110" s="214"/>
      <c r="E110" s="214"/>
      <c r="F110" s="214"/>
      <c r="G110" s="214"/>
      <c r="H110" s="214"/>
      <c r="I110" s="214"/>
    </row>
    <row r="111" spans="3:9" ht="16" x14ac:dyDescent="0.2">
      <c r="C111" s="214"/>
      <c r="D111" s="214"/>
      <c r="E111" s="214"/>
      <c r="F111" s="214"/>
      <c r="G111" s="214"/>
      <c r="H111" s="214"/>
      <c r="I111" s="214"/>
    </row>
    <row r="112" spans="3:9" ht="16" x14ac:dyDescent="0.2">
      <c r="C112" s="214"/>
      <c r="D112" s="214"/>
      <c r="E112" s="214"/>
      <c r="F112" s="214"/>
      <c r="G112" s="214"/>
      <c r="H112" s="214"/>
      <c r="I112" s="214"/>
    </row>
    <row r="113" spans="3:9" ht="16" x14ac:dyDescent="0.2">
      <c r="C113" s="214"/>
      <c r="D113" s="214"/>
      <c r="E113" s="214"/>
      <c r="F113" s="214"/>
      <c r="G113" s="214"/>
      <c r="H113" s="214"/>
      <c r="I113" s="214"/>
    </row>
    <row r="114" spans="3:9" ht="16" x14ac:dyDescent="0.2">
      <c r="C114" s="214"/>
      <c r="D114" s="214"/>
      <c r="E114" s="214"/>
      <c r="F114" s="214"/>
      <c r="G114" s="214"/>
      <c r="H114" s="214"/>
      <c r="I114" s="214"/>
    </row>
    <row r="115" spans="3:9" ht="16" x14ac:dyDescent="0.2">
      <c r="C115" s="214"/>
      <c r="D115" s="214"/>
      <c r="E115" s="214"/>
      <c r="F115" s="214"/>
      <c r="G115" s="214"/>
      <c r="H115" s="214"/>
      <c r="I115" s="214"/>
    </row>
    <row r="116" spans="3:9" ht="16" x14ac:dyDescent="0.2">
      <c r="C116" s="214"/>
      <c r="D116" s="214"/>
      <c r="E116" s="214"/>
      <c r="F116" s="214"/>
      <c r="G116" s="214"/>
      <c r="H116" s="214"/>
      <c r="I116" s="214"/>
    </row>
    <row r="117" spans="3:9" ht="16" x14ac:dyDescent="0.2">
      <c r="C117" s="214"/>
      <c r="D117" s="214"/>
      <c r="E117" s="214"/>
      <c r="F117" s="214"/>
      <c r="G117" s="214"/>
      <c r="H117" s="214"/>
      <c r="I117" s="214"/>
    </row>
    <row r="118" spans="3:9" ht="16" x14ac:dyDescent="0.2">
      <c r="C118" s="214"/>
      <c r="D118" s="214"/>
      <c r="E118" s="214"/>
      <c r="F118" s="214"/>
      <c r="G118" s="214"/>
      <c r="H118" s="214"/>
      <c r="I118" s="214"/>
    </row>
    <row r="119" spans="3:9" ht="16" x14ac:dyDescent="0.2">
      <c r="C119" s="214"/>
      <c r="D119" s="214"/>
      <c r="E119" s="214"/>
      <c r="F119" s="214"/>
      <c r="G119" s="214"/>
      <c r="H119" s="214"/>
      <c r="I119" s="214"/>
    </row>
    <row r="120" spans="3:9" ht="16" x14ac:dyDescent="0.2">
      <c r="C120" s="214"/>
      <c r="D120" s="214"/>
      <c r="E120" s="214"/>
      <c r="F120" s="214"/>
      <c r="G120" s="214"/>
      <c r="H120" s="214"/>
      <c r="I120" s="214"/>
    </row>
    <row r="121" spans="3:9" ht="16" x14ac:dyDescent="0.2">
      <c r="C121" s="214"/>
      <c r="D121" s="214"/>
      <c r="E121" s="214"/>
      <c r="F121" s="214"/>
      <c r="G121" s="214"/>
      <c r="H121" s="214"/>
      <c r="I121" s="214"/>
    </row>
    <row r="122" spans="3:9" ht="16" x14ac:dyDescent="0.2">
      <c r="C122" s="214"/>
      <c r="D122" s="214"/>
      <c r="E122" s="214"/>
      <c r="F122" s="214"/>
      <c r="G122" s="214"/>
      <c r="H122" s="214"/>
      <c r="I122" s="214"/>
    </row>
    <row r="123" spans="3:9" ht="16" x14ac:dyDescent="0.2">
      <c r="C123" s="214"/>
      <c r="D123" s="214"/>
      <c r="E123" s="214"/>
      <c r="F123" s="214"/>
      <c r="G123" s="214"/>
      <c r="H123" s="214"/>
      <c r="I123" s="214"/>
    </row>
    <row r="124" spans="3:9" ht="16" x14ac:dyDescent="0.2">
      <c r="C124" s="214"/>
      <c r="D124" s="214"/>
      <c r="E124" s="214"/>
      <c r="F124" s="214"/>
      <c r="G124" s="214"/>
      <c r="H124" s="214"/>
      <c r="I124" s="214"/>
    </row>
    <row r="125" spans="3:9" ht="16" x14ac:dyDescent="0.2">
      <c r="C125" s="214"/>
      <c r="D125" s="214"/>
      <c r="E125" s="214"/>
      <c r="F125" s="214"/>
      <c r="G125" s="214"/>
      <c r="H125" s="214"/>
      <c r="I125" s="214"/>
    </row>
    <row r="126" spans="3:9" ht="16" x14ac:dyDescent="0.2">
      <c r="C126" s="214"/>
      <c r="D126" s="214"/>
      <c r="E126" s="214"/>
      <c r="F126" s="214"/>
      <c r="G126" s="214"/>
      <c r="H126" s="214"/>
      <c r="I126" s="214"/>
    </row>
    <row r="127" spans="3:9" ht="16" x14ac:dyDescent="0.2">
      <c r="C127" s="214"/>
      <c r="D127" s="214"/>
      <c r="E127" s="214"/>
      <c r="F127" s="214"/>
      <c r="G127" s="214"/>
      <c r="H127" s="214"/>
      <c r="I127" s="214"/>
    </row>
    <row r="128" spans="3:9" ht="16" x14ac:dyDescent="0.2">
      <c r="C128" s="214"/>
      <c r="D128" s="214"/>
      <c r="E128" s="214"/>
      <c r="F128" s="214"/>
      <c r="G128" s="214"/>
      <c r="H128" s="214"/>
      <c r="I128" s="214"/>
    </row>
    <row r="129" spans="3:9" ht="16" x14ac:dyDescent="0.2">
      <c r="C129" s="214"/>
      <c r="D129" s="214"/>
      <c r="E129" s="214"/>
      <c r="F129" s="214"/>
      <c r="G129" s="214"/>
      <c r="H129" s="214"/>
      <c r="I129" s="214"/>
    </row>
    <row r="130" spans="3:9" ht="16" x14ac:dyDescent="0.2">
      <c r="C130" s="214"/>
      <c r="D130" s="214"/>
      <c r="E130" s="214"/>
      <c r="F130" s="214"/>
      <c r="G130" s="214"/>
      <c r="H130" s="214"/>
      <c r="I130" s="214"/>
    </row>
    <row r="131" spans="3:9" ht="16" x14ac:dyDescent="0.2">
      <c r="C131" s="214"/>
      <c r="D131" s="214"/>
      <c r="E131" s="214"/>
      <c r="F131" s="214"/>
      <c r="G131" s="214"/>
      <c r="H131" s="214"/>
      <c r="I131" s="214"/>
    </row>
    <row r="132" spans="3:9" ht="16" x14ac:dyDescent="0.2">
      <c r="C132" s="214"/>
      <c r="D132" s="214"/>
      <c r="E132" s="214"/>
      <c r="F132" s="214"/>
      <c r="G132" s="214"/>
      <c r="H132" s="214"/>
      <c r="I132" s="214"/>
    </row>
    <row r="133" spans="3:9" ht="16" x14ac:dyDescent="0.2">
      <c r="C133" s="214"/>
      <c r="D133" s="214"/>
      <c r="E133" s="214"/>
      <c r="F133" s="214"/>
      <c r="G133" s="214"/>
      <c r="H133" s="214"/>
      <c r="I133" s="214"/>
    </row>
    <row r="134" spans="3:9" ht="16" x14ac:dyDescent="0.2">
      <c r="C134" s="214"/>
      <c r="D134" s="214"/>
      <c r="E134" s="214"/>
      <c r="F134" s="214"/>
      <c r="G134" s="214"/>
      <c r="H134" s="214"/>
      <c r="I134" s="214"/>
    </row>
    <row r="135" spans="3:9" ht="16" x14ac:dyDescent="0.2">
      <c r="C135" s="214"/>
      <c r="D135" s="214"/>
      <c r="E135" s="214"/>
      <c r="F135" s="214"/>
      <c r="G135" s="214"/>
      <c r="H135" s="214"/>
      <c r="I135" s="214"/>
    </row>
  </sheetData>
  <sheetProtection algorithmName="SHA-512" hashValue="P7cZIa9cqj+8Rj1A0FXj0A0GUVOOgF6mW6+Ld0NGe7LCklLxYpjUHPIQY7B6MJxPVR6eLkdkQiY29XWeh6Ef5w==" saltValue="SiTNlNEBzj3Ag3jobuTcCw==" spinCount="100000" sheet="1" selectLockedCells="1"/>
  <dataValidations count="5">
    <dataValidation type="whole" allowBlank="1" showInputMessage="1" showErrorMessage="1" sqref="D17" xr:uid="{0CB373C3-7043-3141-A9C5-0E250F5F85BD}">
      <formula1>1</formula1>
      <formula2>10</formula2>
    </dataValidation>
    <dataValidation type="list" allowBlank="1" showInputMessage="1" showErrorMessage="1" sqref="D18" xr:uid="{0A74F762-329A-9243-9EFC-93F9D12EAC1E}">
      <formula1>$E$21:$E$23</formula1>
    </dataValidation>
    <dataValidation type="list" allowBlank="1" showInputMessage="1" showErrorMessage="1" sqref="D16" xr:uid="{CFE40470-A8F8-4A4E-B5D7-EDF74132B15D}">
      <formula1>$L$16:$L$19</formula1>
    </dataValidation>
    <dataValidation type="whole" allowBlank="1" showInputMessage="1" showErrorMessage="1" promptTitle="Уведомление для инвесторов " prompt="Если вы инвестируете в 1ом раунде, то сумма инвестиций не должна быть меньше 5 млн руб." sqref="D19" xr:uid="{B32B90DD-BE54-FA40-A9EC-0BAC7F026F2D}">
      <formula1>100000</formula1>
      <formula2>210000000</formula2>
    </dataValidation>
    <dataValidation allowBlank="1" showErrorMessage="1" promptTitle="Уведомление для инвесторов " prompt="Дата расчитывается в зависимости от раунда (даты начала каждого раунда см. на листе с моделью)_x000a_" sqref="D15" xr:uid="{A502E4AC-9CAE-5345-B48A-A98FFF1B02FE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D282"/>
  <sheetViews>
    <sheetView showGridLines="0" zoomScaleNormal="100" workbookViewId="0">
      <pane ySplit="1" topLeftCell="A181" activePane="bottomLeft" state="frozen"/>
      <selection pane="bottomLeft" activeCell="B74" sqref="B74"/>
    </sheetView>
  </sheetViews>
  <sheetFormatPr baseColWidth="10" defaultColWidth="0" defaultRowHeight="31" zeroHeight="1" outlineLevelRow="2" outlineLevelCol="1" x14ac:dyDescent="0.35"/>
  <cols>
    <col min="1" max="1" width="5.1640625" style="11" customWidth="1"/>
    <col min="2" max="2" width="52.83203125" style="11" customWidth="1"/>
    <col min="3" max="3" width="26.5" style="11" customWidth="1"/>
    <col min="4" max="4" width="2.5" style="11" hidden="1" customWidth="1" outlineLevel="1"/>
    <col min="5" max="5" width="19.83203125" style="11" hidden="1" customWidth="1" outlineLevel="1"/>
    <col min="6" max="6" width="23.33203125" style="10" customWidth="1" collapsed="1"/>
    <col min="7" max="7" width="23.1640625" style="10" customWidth="1"/>
    <col min="8" max="8" width="18.6640625" style="10" customWidth="1"/>
    <col min="9" max="9" width="24.5" style="10" customWidth="1"/>
    <col min="10" max="10" width="19.83203125" style="10" customWidth="1"/>
    <col min="11" max="11" width="24.5" style="10" customWidth="1"/>
    <col min="12" max="12" width="20.83203125" style="10" customWidth="1"/>
    <col min="13" max="13" width="19.5" style="10" customWidth="1"/>
    <col min="14" max="14" width="18.5" style="10" customWidth="1"/>
    <col min="15" max="15" width="17.83203125" style="10" bestFit="1" customWidth="1"/>
    <col min="16" max="16" width="19" style="10" customWidth="1"/>
    <col min="17" max="17" width="17.83203125" style="10" bestFit="1" customWidth="1"/>
    <col min="18" max="18" width="18.5" style="10" customWidth="1"/>
    <col min="19" max="20" width="17.83203125" style="10" bestFit="1" customWidth="1"/>
    <col min="21" max="21" width="22.6640625" style="10" customWidth="1"/>
    <col min="22" max="24" width="18" style="10" bestFit="1" customWidth="1"/>
    <col min="25" max="31" width="17.83203125" style="10" bestFit="1" customWidth="1"/>
    <col min="32" max="37" width="17.5" style="10" bestFit="1" customWidth="1"/>
    <col min="38" max="40" width="16.1640625" style="10" bestFit="1" customWidth="1"/>
    <col min="41" max="52" width="17" style="10" bestFit="1" customWidth="1"/>
    <col min="53" max="54" width="13" style="11" customWidth="1"/>
    <col min="55" max="55" width="73.1640625" style="232" hidden="1" customWidth="1"/>
    <col min="56" max="65" width="43.33203125" style="232" hidden="1" customWidth="1"/>
    <col min="66" max="66" width="18.83203125" style="11" customWidth="1"/>
    <col min="67" max="67" width="13" style="11" hidden="1" customWidth="1"/>
    <col min="68" max="83" width="9.83203125" style="11" hidden="1" customWidth="1"/>
    <col min="84" max="108" width="8.83203125" style="11" hidden="1" customWidth="1"/>
    <col min="109" max="16384" width="0" style="11" hidden="1"/>
  </cols>
  <sheetData>
    <row r="1" spans="1:65" ht="20" hidden="1" customHeight="1" outlineLevel="1" x14ac:dyDescent="0.35">
      <c r="A1" s="7"/>
      <c r="B1" s="8" t="s">
        <v>121</v>
      </c>
      <c r="C1" s="114">
        <f>'Калькулятор инвестора'!$D$18</f>
        <v>1</v>
      </c>
      <c r="D1" s="9"/>
      <c r="E1" s="138">
        <f>C242</f>
        <v>0.17331592440605165</v>
      </c>
      <c r="F1" s="138">
        <f>C243</f>
        <v>0.10442105263157894</v>
      </c>
      <c r="J1" s="9"/>
      <c r="K1" s="9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65" ht="20" hidden="1" customHeight="1" outlineLevel="1" x14ac:dyDescent="0.35"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65" s="18" customFormat="1" ht="20" hidden="1" customHeight="1" outlineLevel="1" x14ac:dyDescent="0.15">
      <c r="B3" s="88" t="s">
        <v>0</v>
      </c>
      <c r="C3" s="88"/>
      <c r="D3" s="88"/>
      <c r="E3" s="88"/>
      <c r="F3" s="89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</row>
    <row r="4" spans="1:65" ht="20" hidden="1" customHeight="1" outlineLevel="1" x14ac:dyDescent="0.35">
      <c r="E4" s="10"/>
      <c r="F4" s="11"/>
      <c r="G4" s="11"/>
      <c r="H4" s="11"/>
      <c r="I4" s="11"/>
      <c r="J4" s="11"/>
      <c r="K4" s="11"/>
      <c r="L4" s="11"/>
      <c r="M4" s="11"/>
      <c r="N4" s="2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65" ht="20" hidden="1" customHeight="1" outlineLevel="1" x14ac:dyDescent="0.35">
      <c r="B5" s="13" t="s">
        <v>1</v>
      </c>
      <c r="C5" s="14"/>
      <c r="E5" s="10"/>
      <c r="F5" s="11"/>
      <c r="G5" s="11"/>
      <c r="I5" s="15" t="s">
        <v>4</v>
      </c>
      <c r="J5" s="16" t="s">
        <v>5</v>
      </c>
      <c r="K5" s="16" t="s">
        <v>6</v>
      </c>
      <c r="L5" s="15" t="s">
        <v>7</v>
      </c>
      <c r="M5" s="15"/>
      <c r="N5" s="16" t="s">
        <v>5</v>
      </c>
      <c r="O5" s="16" t="s">
        <v>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  <row r="6" spans="1:65" ht="20" hidden="1" customHeight="1" outlineLevel="1" x14ac:dyDescent="0.35">
      <c r="B6" s="11" t="s">
        <v>107</v>
      </c>
      <c r="C6" s="23">
        <f>SUM(C7:C8)</f>
        <v>234081855.00000003</v>
      </c>
      <c r="D6" s="10"/>
      <c r="E6" s="17"/>
      <c r="F6" s="17"/>
      <c r="G6" s="17"/>
      <c r="I6" s="18" t="s">
        <v>155</v>
      </c>
      <c r="J6" s="19">
        <f>J15-J7</f>
        <v>265000000</v>
      </c>
      <c r="K6" s="20">
        <f>J6/$J$15</f>
        <v>0.84126984126984128</v>
      </c>
      <c r="L6" s="18" t="s">
        <v>33</v>
      </c>
      <c r="M6" s="21"/>
      <c r="N6" s="19">
        <f>$C$6/(1+$C$70)</f>
        <v>191870372.9508197</v>
      </c>
      <c r="O6" s="22">
        <f t="shared" ref="O6:O14" si="0">N6/$N$15</f>
        <v>0.60911229508196729</v>
      </c>
      <c r="P6" s="11"/>
      <c r="Q6" s="11"/>
      <c r="R6" s="11"/>
      <c r="S6" s="11"/>
      <c r="T6" s="11"/>
      <c r="U6" s="11"/>
      <c r="V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</row>
    <row r="7" spans="1:65" ht="20" hidden="1" customHeight="1" outlineLevel="1" x14ac:dyDescent="0.35">
      <c r="B7" s="26" t="s">
        <v>153</v>
      </c>
      <c r="C7" s="27">
        <f>C9*C10</f>
        <v>234081855.00000003</v>
      </c>
      <c r="D7" s="10"/>
      <c r="E7" s="17"/>
      <c r="F7" s="17"/>
      <c r="G7" s="17"/>
      <c r="I7" s="30" t="s">
        <v>177</v>
      </c>
      <c r="J7" s="23">
        <f>$C$58</f>
        <v>50000000</v>
      </c>
      <c r="K7" s="20">
        <f>J7/$J$15</f>
        <v>0.15873015873015872</v>
      </c>
      <c r="L7" s="30" t="s">
        <v>105</v>
      </c>
      <c r="N7" s="19">
        <f>$C$23*$C$9/(1+$C$70)</f>
        <v>32158401.639344264</v>
      </c>
      <c r="O7" s="22">
        <f t="shared" si="0"/>
        <v>0.10209016393442623</v>
      </c>
      <c r="P7" s="11"/>
      <c r="Q7" s="76"/>
      <c r="R7" s="76"/>
      <c r="S7" s="76"/>
      <c r="T7" s="11"/>
      <c r="U7" s="11"/>
      <c r="V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1:65" ht="20" hidden="1" customHeight="1" outlineLevel="1" x14ac:dyDescent="0.35">
      <c r="B8" s="26" t="s">
        <v>154</v>
      </c>
      <c r="C8" s="46">
        <v>0</v>
      </c>
      <c r="D8" s="10"/>
      <c r="E8" s="17"/>
      <c r="F8" s="17">
        <f>C7*90%</f>
        <v>210673669.50000003</v>
      </c>
      <c r="G8" s="17"/>
      <c r="I8" s="30"/>
      <c r="J8" s="23"/>
      <c r="K8" s="20"/>
      <c r="L8" s="30" t="s">
        <v>124</v>
      </c>
      <c r="N8" s="19">
        <f>N6*$C$70</f>
        <v>42211482.049180336</v>
      </c>
      <c r="O8" s="22">
        <f t="shared" si="0"/>
        <v>0.13400470491803282</v>
      </c>
      <c r="P8" s="11"/>
      <c r="Q8" s="11"/>
      <c r="R8" s="11"/>
      <c r="S8" s="11"/>
      <c r="T8" s="11"/>
      <c r="U8" s="11"/>
      <c r="V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65" ht="20" hidden="1" customHeight="1" outlineLevel="1" x14ac:dyDescent="0.35">
      <c r="B9" s="11" t="s">
        <v>83</v>
      </c>
      <c r="C9" s="140">
        <v>296.10000000000002</v>
      </c>
      <c r="D9" s="10"/>
      <c r="E9" s="23"/>
      <c r="F9" s="23"/>
      <c r="G9" s="23"/>
      <c r="H9" s="23"/>
      <c r="L9" s="30" t="s">
        <v>125</v>
      </c>
      <c r="N9" s="19">
        <f>N7*$C$70</f>
        <v>7074848.360655738</v>
      </c>
      <c r="O9" s="22">
        <f t="shared" si="0"/>
        <v>2.2459836065573772E-2</v>
      </c>
      <c r="P9" s="11"/>
      <c r="Q9" s="11"/>
      <c r="R9" s="11"/>
      <c r="S9" s="11"/>
      <c r="T9" s="11"/>
      <c r="U9" s="11"/>
      <c r="V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65" ht="20" hidden="1" customHeight="1" outlineLevel="1" x14ac:dyDescent="0.35">
      <c r="B10" s="26" t="s">
        <v>32</v>
      </c>
      <c r="C10" s="46">
        <v>790550</v>
      </c>
      <c r="D10" s="25"/>
      <c r="E10" s="23"/>
      <c r="F10" s="23"/>
      <c r="G10" s="23"/>
      <c r="H10" s="23"/>
      <c r="I10" s="18"/>
      <c r="J10" s="17"/>
      <c r="K10" s="20"/>
      <c r="L10" s="18" t="s">
        <v>23</v>
      </c>
      <c r="M10" s="12"/>
      <c r="N10" s="24">
        <v>1000000</v>
      </c>
      <c r="O10" s="22">
        <f t="shared" si="0"/>
        <v>3.1746031746031746E-3</v>
      </c>
      <c r="P10" s="11"/>
      <c r="Q10" s="11"/>
      <c r="R10" s="11"/>
      <c r="S10" s="11"/>
      <c r="T10" s="11"/>
      <c r="U10" s="11"/>
      <c r="V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65" ht="20" hidden="1" customHeight="1" outlineLevel="1" x14ac:dyDescent="0.35">
      <c r="B11" s="11" t="s">
        <v>3</v>
      </c>
      <c r="C11" s="32">
        <v>46022</v>
      </c>
      <c r="D11" s="25"/>
      <c r="E11" s="10"/>
      <c r="F11" s="23"/>
      <c r="L11" s="11" t="s">
        <v>42</v>
      </c>
      <c r="M11" s="11"/>
      <c r="N11" s="24">
        <v>1000000</v>
      </c>
      <c r="O11" s="22">
        <f t="shared" si="0"/>
        <v>3.1746031746031746E-3</v>
      </c>
      <c r="Q11" s="11"/>
      <c r="R11" s="11"/>
      <c r="S11" s="11"/>
      <c r="T11" s="11"/>
      <c r="U11" s="11"/>
      <c r="V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65" ht="20" hidden="1" customHeight="1" outlineLevel="1" x14ac:dyDescent="0.35">
      <c r="B12" s="11" t="s">
        <v>84</v>
      </c>
      <c r="C12" s="23">
        <f>C13*C9</f>
        <v>118440000.00000001</v>
      </c>
      <c r="D12" s="28"/>
      <c r="E12" s="10"/>
      <c r="F12" s="23"/>
      <c r="I12" s="18"/>
      <c r="J12" s="17"/>
      <c r="K12" s="20"/>
      <c r="L12" s="30" t="s">
        <v>80</v>
      </c>
      <c r="N12" s="24">
        <v>200000</v>
      </c>
      <c r="O12" s="22">
        <f t="shared" si="0"/>
        <v>6.3492063492063492E-4</v>
      </c>
      <c r="P12" s="11"/>
      <c r="Q12" s="11"/>
      <c r="R12" s="11"/>
      <c r="S12" s="11"/>
      <c r="T12" s="11"/>
      <c r="U12" s="11"/>
      <c r="V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65" ht="20" hidden="1" customHeight="1" outlineLevel="1" x14ac:dyDescent="0.35">
      <c r="B13" s="26" t="s">
        <v>45</v>
      </c>
      <c r="C13" s="46">
        <v>400000</v>
      </c>
      <c r="D13" s="31"/>
      <c r="E13" s="10"/>
      <c r="L13" s="30" t="s">
        <v>15</v>
      </c>
      <c r="N13" s="19">
        <f>$C$45*SUM(N6:N9)</f>
        <v>13665755.250000004</v>
      </c>
      <c r="O13" s="22">
        <f t="shared" si="0"/>
        <v>4.3383350000000015E-2</v>
      </c>
      <c r="P13" s="11"/>
      <c r="Q13" s="11"/>
      <c r="R13" s="11"/>
      <c r="S13" s="11"/>
      <c r="T13" s="11"/>
      <c r="U13" s="11"/>
      <c r="V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65" ht="20" hidden="1" customHeight="1" outlineLevel="1" x14ac:dyDescent="0.35">
      <c r="B14" s="11" t="s">
        <v>86</v>
      </c>
      <c r="C14" s="32">
        <v>45838</v>
      </c>
      <c r="D14" s="31"/>
      <c r="E14" s="27"/>
      <c r="F14" s="27"/>
      <c r="G14" s="27"/>
      <c r="H14" s="27"/>
      <c r="I14" s="11"/>
      <c r="J14" s="11"/>
      <c r="K14" s="11"/>
      <c r="L14" s="11" t="s">
        <v>102</v>
      </c>
      <c r="M14" s="11"/>
      <c r="N14" s="19">
        <f>N15-SUM(N6:N13)</f>
        <v>25819139.74999994</v>
      </c>
      <c r="O14" s="22">
        <f t="shared" si="0"/>
        <v>8.1965523015872829E-2</v>
      </c>
      <c r="P14" s="11"/>
      <c r="Q14" s="11"/>
      <c r="R14" s="11"/>
      <c r="S14" s="11"/>
      <c r="T14" s="11"/>
      <c r="U14" s="11"/>
      <c r="V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65" ht="20" hidden="1" customHeight="1" outlineLevel="1" x14ac:dyDescent="0.35">
      <c r="B15" s="11" t="s">
        <v>103</v>
      </c>
      <c r="C15" s="47" t="s">
        <v>122</v>
      </c>
      <c r="D15" s="31"/>
      <c r="E15" s="27"/>
      <c r="F15" s="27"/>
      <c r="G15" s="27"/>
      <c r="H15" s="27"/>
      <c r="I15" s="33" t="s">
        <v>9</v>
      </c>
      <c r="J15" s="34">
        <f>N15</f>
        <v>315000000</v>
      </c>
      <c r="K15" s="35">
        <f>SUM(K6:K14)</f>
        <v>1</v>
      </c>
      <c r="L15" s="33" t="s">
        <v>9</v>
      </c>
      <c r="M15" s="33"/>
      <c r="N15" s="34">
        <v>315000000</v>
      </c>
      <c r="O15" s="35">
        <f>SUM(O6:O14)</f>
        <v>1</v>
      </c>
      <c r="P15" s="11"/>
      <c r="Q15" s="11"/>
      <c r="R15" s="11"/>
      <c r="S15" s="11"/>
      <c r="T15" s="11"/>
      <c r="U15" s="11"/>
      <c r="V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65" ht="20" hidden="1" customHeight="1" outlineLevel="1" x14ac:dyDescent="0.35">
      <c r="A16" s="7">
        <v>1</v>
      </c>
      <c r="B16" s="26" t="s">
        <v>45</v>
      </c>
      <c r="C16" s="127" t="s">
        <v>122</v>
      </c>
      <c r="D16" s="31"/>
      <c r="E16" s="27"/>
      <c r="F16" s="27"/>
      <c r="G16" s="27"/>
      <c r="H16" s="27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ht="20" hidden="1" customHeight="1" outlineLevel="1" x14ac:dyDescent="0.35">
      <c r="A17" s="7">
        <v>2</v>
      </c>
      <c r="B17" s="10"/>
      <c r="C17" s="10"/>
      <c r="D17" s="10"/>
      <c r="E17" s="10"/>
      <c r="I17" s="11"/>
      <c r="J17" s="11"/>
      <c r="K17" s="11"/>
      <c r="L17" s="11"/>
      <c r="M17" s="11"/>
      <c r="N17" s="76"/>
      <c r="O17" s="11"/>
      <c r="P17" s="11"/>
      <c r="Q17" s="11"/>
      <c r="R17" s="11"/>
      <c r="S17" s="11"/>
      <c r="T17" s="11"/>
      <c r="U17" s="11"/>
      <c r="V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ht="20" hidden="1" customHeight="1" outlineLevel="1" x14ac:dyDescent="0.35">
      <c r="B18" s="13" t="s">
        <v>85</v>
      </c>
      <c r="C18" s="36"/>
      <c r="D18" s="31"/>
      <c r="E18" s="14" t="s">
        <v>2</v>
      </c>
      <c r="F18" s="14" t="s">
        <v>81</v>
      </c>
      <c r="G18" s="14" t="s">
        <v>82</v>
      </c>
      <c r="I18" s="13" t="s">
        <v>170</v>
      </c>
      <c r="J18" s="98"/>
      <c r="K18" s="14" t="s">
        <v>2</v>
      </c>
      <c r="L18" s="14" t="s">
        <v>81</v>
      </c>
      <c r="M18" s="14" t="s">
        <v>82</v>
      </c>
      <c r="N18" s="76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ht="20" hidden="1" customHeight="1" outlineLevel="1" x14ac:dyDescent="0.35">
      <c r="B19" s="11" t="s">
        <v>87</v>
      </c>
      <c r="C19" s="37" t="s">
        <v>104</v>
      </c>
      <c r="E19" s="10"/>
      <c r="I19" s="11" t="s">
        <v>253</v>
      </c>
      <c r="J19" s="96" t="s">
        <v>171</v>
      </c>
      <c r="K19" s="23">
        <f>N6+N7</f>
        <v>224028774.59016398</v>
      </c>
      <c r="L19" s="23">
        <f>K19</f>
        <v>224028774.59016398</v>
      </c>
      <c r="M19" s="23">
        <f>L19</f>
        <v>224028774.59016398</v>
      </c>
      <c r="N19" s="11"/>
      <c r="O19" s="11"/>
      <c r="P19" s="11"/>
      <c r="Q19" s="11"/>
      <c r="R19" s="11"/>
      <c r="S19" s="11"/>
      <c r="T19" s="11"/>
      <c r="V19" s="11"/>
      <c r="W19" s="11"/>
      <c r="X19" s="11"/>
      <c r="Y19" s="11"/>
      <c r="Z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</row>
    <row r="20" spans="1:52" ht="20" hidden="1" customHeight="1" outlineLevel="1" x14ac:dyDescent="0.35">
      <c r="B20" s="26" t="s">
        <v>89</v>
      </c>
      <c r="C20" s="46">
        <v>6</v>
      </c>
      <c r="E20" s="10"/>
      <c r="I20" s="11" t="s">
        <v>189</v>
      </c>
      <c r="J20" s="96" t="s">
        <v>171</v>
      </c>
      <c r="K20" s="23">
        <f>(E26+E27+E28)/(1+$C$70)*$C$9</f>
        <v>25484016.393442623</v>
      </c>
      <c r="L20" s="23">
        <f t="shared" ref="L20:M20" si="1">(F26+F27+F28)/(1+$C$70)*$C$9</f>
        <v>26697540.983606558</v>
      </c>
      <c r="M20" s="23">
        <f t="shared" si="1"/>
        <v>24270491.803278688</v>
      </c>
      <c r="N20" s="11"/>
      <c r="O20" s="11"/>
      <c r="P20" s="11"/>
      <c r="Q20" s="11"/>
      <c r="R20" s="11"/>
      <c r="S20" s="11"/>
      <c r="T20" s="11"/>
      <c r="V20" s="11"/>
      <c r="W20" s="11"/>
      <c r="X20" s="11"/>
      <c r="Y20" s="11"/>
      <c r="Z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ht="20" hidden="1" customHeight="1" outlineLevel="1" x14ac:dyDescent="0.35">
      <c r="B21" s="11" t="s">
        <v>88</v>
      </c>
      <c r="C21" s="31">
        <f>EOMONTH(C11,C20)+1</f>
        <v>46204</v>
      </c>
      <c r="D21" s="38"/>
      <c r="E21" s="10"/>
      <c r="I21" s="11" t="s">
        <v>173</v>
      </c>
      <c r="J21" s="96" t="s">
        <v>171</v>
      </c>
      <c r="K21" s="100">
        <f>-$C$9*E27/(1+$C$70)</f>
        <v>-2062991.8032786886</v>
      </c>
      <c r="L21" s="100">
        <f>-$C$9*F27/(1+$C$70)</f>
        <v>-2062991.8032786886</v>
      </c>
      <c r="M21" s="100">
        <f>-$C$9*G27/(1+$C$70)</f>
        <v>-2062991.8032786886</v>
      </c>
      <c r="N21" s="11"/>
      <c r="O21" s="11"/>
      <c r="P21" s="11"/>
      <c r="Q21" s="11"/>
      <c r="S21" s="11"/>
      <c r="T21" s="11"/>
      <c r="U21" s="113"/>
      <c r="V21" s="45"/>
      <c r="W21" s="41"/>
      <c r="X21" s="41"/>
      <c r="Z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</row>
    <row r="22" spans="1:52" ht="20" hidden="1" customHeight="1" outlineLevel="1" x14ac:dyDescent="0.35">
      <c r="B22" s="11" t="s">
        <v>247</v>
      </c>
      <c r="C22" s="23">
        <f>C23*C9</f>
        <v>39233250</v>
      </c>
      <c r="D22" s="38"/>
      <c r="E22" s="10"/>
      <c r="I22" s="11" t="s">
        <v>70</v>
      </c>
      <c r="J22" s="96" t="s">
        <v>171</v>
      </c>
      <c r="K22" s="100">
        <f>-C37</f>
        <v>-2368800.0000000005</v>
      </c>
      <c r="L22" s="100">
        <f>K22</f>
        <v>-2368800.0000000005</v>
      </c>
      <c r="M22" s="100">
        <f>L22</f>
        <v>-2368800.0000000005</v>
      </c>
      <c r="N22" s="11"/>
      <c r="O22" s="11"/>
      <c r="P22" s="11"/>
      <c r="Q22" s="11"/>
      <c r="S22" s="11"/>
      <c r="T22" s="11"/>
      <c r="U22" s="113"/>
      <c r="V22" s="45"/>
      <c r="W22" s="41"/>
      <c r="X22" s="41"/>
      <c r="Z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</row>
    <row r="23" spans="1:52" ht="20" hidden="1" customHeight="1" outlineLevel="1" x14ac:dyDescent="0.35">
      <c r="B23" s="26" t="s">
        <v>106</v>
      </c>
      <c r="C23" s="23">
        <f>CHOOSE($C$1,E23,F23,G23)</f>
        <v>132500</v>
      </c>
      <c r="D23" s="38"/>
      <c r="E23" s="17">
        <v>132500</v>
      </c>
      <c r="F23" s="17">
        <v>132500.00000000003</v>
      </c>
      <c r="G23" s="17">
        <v>132500</v>
      </c>
      <c r="I23" s="103" t="s">
        <v>21</v>
      </c>
      <c r="J23" s="149" t="s">
        <v>171</v>
      </c>
      <c r="K23" s="150">
        <f>K20+K22+K21</f>
        <v>21052224.590163935</v>
      </c>
      <c r="L23" s="150">
        <f>L20+L22+L21</f>
        <v>22265749.18032787</v>
      </c>
      <c r="M23" s="150">
        <f>M20+M22+M21</f>
        <v>19838700</v>
      </c>
      <c r="N23" s="11"/>
      <c r="O23" s="11"/>
      <c r="P23" s="11"/>
      <c r="Q23" s="11"/>
      <c r="S23" s="11"/>
      <c r="T23" s="11"/>
      <c r="U23" s="113"/>
      <c r="V23" s="45"/>
      <c r="W23" s="41"/>
      <c r="X23" s="41"/>
      <c r="Z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</row>
    <row r="24" spans="1:52" ht="20" hidden="1" customHeight="1" outlineLevel="1" x14ac:dyDescent="0.35">
      <c r="B24" s="11" t="s">
        <v>108</v>
      </c>
      <c r="C24" s="17">
        <v>5</v>
      </c>
      <c r="D24" s="38"/>
      <c r="E24" s="17">
        <v>5</v>
      </c>
      <c r="F24" s="17">
        <v>5</v>
      </c>
      <c r="G24" s="17">
        <v>5</v>
      </c>
      <c r="I24" s="154" t="s">
        <v>174</v>
      </c>
      <c r="J24" s="155" t="s">
        <v>6</v>
      </c>
      <c r="K24" s="156">
        <f>K23/K20</f>
        <v>0.8260952380952381</v>
      </c>
      <c r="L24" s="156">
        <f>L23/L20</f>
        <v>0.83399999999999996</v>
      </c>
      <c r="M24" s="156">
        <f>M23/M20</f>
        <v>0.81740000000000002</v>
      </c>
      <c r="N24" s="75"/>
      <c r="O24" s="11"/>
      <c r="P24" s="11"/>
      <c r="Q24" s="11"/>
      <c r="S24" s="11"/>
      <c r="T24" s="11"/>
      <c r="U24" s="113"/>
      <c r="V24" s="45"/>
      <c r="W24" s="41"/>
      <c r="X24" s="41"/>
      <c r="Z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</row>
    <row r="25" spans="1:52" ht="20" hidden="1" customHeight="1" outlineLevel="1" x14ac:dyDescent="0.35">
      <c r="C25" s="31"/>
      <c r="D25" s="38"/>
      <c r="E25" s="10"/>
      <c r="I25" s="103" t="s">
        <v>172</v>
      </c>
      <c r="J25" s="151" t="s">
        <v>6</v>
      </c>
      <c r="K25" s="104">
        <f>K23/K19</f>
        <v>9.3971074156329548E-2</v>
      </c>
      <c r="L25" s="104">
        <f>L23/L19</f>
        <v>9.9387898813715389E-2</v>
      </c>
      <c r="M25" s="104">
        <f>M23/M19</f>
        <v>8.8554249498943707E-2</v>
      </c>
      <c r="N25" s="11"/>
      <c r="O25" s="11"/>
      <c r="P25" s="11"/>
      <c r="Q25" s="11"/>
      <c r="S25" s="11"/>
      <c r="T25" s="11"/>
      <c r="U25" s="113"/>
      <c r="V25" s="45"/>
      <c r="W25" s="41"/>
      <c r="X25" s="41"/>
      <c r="Z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ht="20" hidden="1" customHeight="1" outlineLevel="1" x14ac:dyDescent="0.35">
      <c r="B26" s="11" t="s">
        <v>120</v>
      </c>
      <c r="C26" s="23">
        <f>CHOOSE($C$1,E26,F26,G26)</f>
        <v>70000</v>
      </c>
      <c r="D26" s="38"/>
      <c r="E26" s="17">
        <v>70000</v>
      </c>
      <c r="F26" s="17">
        <f>E26+5000</f>
        <v>75000</v>
      </c>
      <c r="G26" s="17">
        <f>E26-5000</f>
        <v>65000</v>
      </c>
      <c r="I26" s="103" t="s">
        <v>175</v>
      </c>
      <c r="J26" s="149" t="s">
        <v>176</v>
      </c>
      <c r="K26" s="153">
        <f>K19/K20</f>
        <v>8.7909523809523833</v>
      </c>
      <c r="L26" s="153">
        <f>L19/L20</f>
        <v>8.3913636363636375</v>
      </c>
      <c r="M26" s="153">
        <f>M19/M20</f>
        <v>9.230500000000001</v>
      </c>
      <c r="N26" s="11"/>
      <c r="O26" s="11"/>
      <c r="P26" s="11"/>
      <c r="Q26" s="11"/>
      <c r="S26" s="11"/>
      <c r="T26" s="11"/>
      <c r="U26" s="113"/>
      <c r="V26" s="45"/>
      <c r="W26" s="41"/>
      <c r="X26" s="41"/>
      <c r="Z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</row>
    <row r="27" spans="1:52" ht="20" hidden="1" customHeight="1" outlineLevel="1" x14ac:dyDescent="0.35">
      <c r="B27" s="99" t="s">
        <v>110</v>
      </c>
      <c r="C27" s="23">
        <f>CHOOSE($C$1,E27,F27,G27)</f>
        <v>8500</v>
      </c>
      <c r="D27" s="38"/>
      <c r="E27" s="17">
        <v>8500</v>
      </c>
      <c r="F27" s="17">
        <v>8500</v>
      </c>
      <c r="G27" s="17">
        <v>8500</v>
      </c>
      <c r="I27" s="11"/>
      <c r="J27" s="11"/>
      <c r="K27" s="11"/>
      <c r="L27" s="11"/>
      <c r="M27" s="11"/>
      <c r="N27" s="11"/>
      <c r="O27" s="11"/>
      <c r="P27" s="11"/>
      <c r="Q27" s="11"/>
      <c r="S27" s="11"/>
      <c r="T27" s="11"/>
      <c r="U27" s="113"/>
      <c r="V27" s="45"/>
      <c r="W27" s="41"/>
      <c r="X27" s="41"/>
      <c r="Z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</row>
    <row r="28" spans="1:52" ht="20" hidden="1" customHeight="1" outlineLevel="1" x14ac:dyDescent="0.35">
      <c r="B28" s="99" t="s">
        <v>111</v>
      </c>
      <c r="C28" s="23">
        <f>C23/C24</f>
        <v>26500</v>
      </c>
      <c r="D28" s="38"/>
      <c r="E28" s="23">
        <f>E23/E24</f>
        <v>26500</v>
      </c>
      <c r="F28" s="23">
        <f>F23/F24</f>
        <v>26500.000000000007</v>
      </c>
      <c r="G28" s="23">
        <f t="shared" ref="G28" si="2">G23/G24</f>
        <v>26500</v>
      </c>
      <c r="I28" s="11"/>
      <c r="J28" s="11"/>
      <c r="K28" s="231"/>
      <c r="L28" s="231"/>
      <c r="M28" s="231"/>
      <c r="N28" s="11"/>
      <c r="O28" s="11"/>
      <c r="P28" s="11"/>
      <c r="Q28" s="11"/>
      <c r="S28" s="11"/>
      <c r="T28" s="11"/>
      <c r="U28" s="113"/>
      <c r="V28" s="45"/>
      <c r="W28" s="41"/>
      <c r="X28" s="41"/>
      <c r="Z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</row>
    <row r="29" spans="1:52" ht="20" hidden="1" customHeight="1" outlineLevel="1" x14ac:dyDescent="0.35">
      <c r="B29" s="52" t="s">
        <v>119</v>
      </c>
      <c r="C29" s="123">
        <f>C26+C27+C28</f>
        <v>105000</v>
      </c>
      <c r="D29" s="38"/>
      <c r="E29" s="123">
        <f>E26+E27+E28</f>
        <v>105000</v>
      </c>
      <c r="F29" s="123">
        <f>F26+F27+F28</f>
        <v>110000</v>
      </c>
      <c r="G29" s="123">
        <f>G26+G27+G28</f>
        <v>100000</v>
      </c>
      <c r="I29" s="11"/>
      <c r="J29" s="11"/>
      <c r="K29" s="231"/>
      <c r="L29" s="231"/>
      <c r="M29" s="231"/>
      <c r="N29" s="11"/>
      <c r="O29" s="11"/>
      <c r="P29" s="11"/>
      <c r="Q29" s="11"/>
      <c r="S29" s="11"/>
      <c r="T29" s="11"/>
      <c r="U29" s="113"/>
      <c r="V29" s="45"/>
      <c r="W29" s="41"/>
      <c r="X29" s="41"/>
      <c r="Z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</row>
    <row r="30" spans="1:52" ht="20" hidden="1" customHeight="1" outlineLevel="1" x14ac:dyDescent="0.35">
      <c r="C30" s="23"/>
      <c r="D30" s="38"/>
      <c r="E30" s="10"/>
      <c r="I30" s="11"/>
      <c r="J30" s="157"/>
      <c r="K30" s="231"/>
      <c r="L30" s="231"/>
      <c r="M30" s="231"/>
      <c r="N30" s="11"/>
      <c r="O30" s="11"/>
      <c r="P30" s="11"/>
      <c r="Q30" s="11"/>
      <c r="S30" s="11"/>
      <c r="T30" s="11"/>
      <c r="U30" s="113"/>
      <c r="V30" s="45"/>
      <c r="W30" s="41"/>
      <c r="X30" s="41"/>
      <c r="Z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</row>
    <row r="31" spans="1:52" ht="20" hidden="1" customHeight="1" outlineLevel="1" x14ac:dyDescent="0.35">
      <c r="B31" s="11" t="s">
        <v>115</v>
      </c>
      <c r="C31" s="48">
        <f>CHOOSE($C$1,E31,F31,G31)</f>
        <v>0.1</v>
      </c>
      <c r="D31" s="38"/>
      <c r="E31" s="37">
        <v>0.1</v>
      </c>
      <c r="F31" s="37">
        <v>0.15</v>
      </c>
      <c r="G31" s="37">
        <v>7.0000000000000007E-2</v>
      </c>
      <c r="I31" s="52"/>
      <c r="J31" s="159"/>
      <c r="K31" s="231"/>
      <c r="L31" s="231"/>
      <c r="M31" s="231"/>
      <c r="N31" s="11"/>
      <c r="O31" s="11"/>
      <c r="P31" s="11"/>
      <c r="Q31" s="11"/>
      <c r="S31" s="11"/>
      <c r="T31" s="11"/>
      <c r="U31" s="113"/>
      <c r="V31" s="45"/>
      <c r="W31" s="41"/>
      <c r="X31" s="41"/>
      <c r="Z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</row>
    <row r="32" spans="1:52" ht="20" hidden="1" customHeight="1" outlineLevel="1" x14ac:dyDescent="0.35">
      <c r="D32" s="10"/>
      <c r="E32" s="10"/>
      <c r="I32" s="11"/>
      <c r="J32" s="11"/>
      <c r="K32" s="231"/>
      <c r="L32" s="231"/>
      <c r="M32" s="231"/>
      <c r="N32" s="11"/>
      <c r="O32" s="11"/>
      <c r="P32" s="11"/>
      <c r="Q32" s="11"/>
      <c r="S32" s="11"/>
      <c r="T32" s="11"/>
      <c r="U32" s="11"/>
      <c r="V32" s="11"/>
      <c r="W32" s="11"/>
      <c r="X32" s="11"/>
      <c r="Y32" s="11"/>
      <c r="Z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2:52" ht="20" hidden="1" customHeight="1" outlineLevel="1" x14ac:dyDescent="0.35">
      <c r="B33" s="13" t="s">
        <v>10</v>
      </c>
      <c r="C33" s="14"/>
      <c r="E33" s="23"/>
      <c r="F33" s="23"/>
      <c r="G33" s="23"/>
      <c r="I33" s="11"/>
      <c r="J33" s="11"/>
      <c r="K33" s="231"/>
      <c r="L33" s="231"/>
      <c r="M33" s="231"/>
      <c r="N33" s="11"/>
      <c r="O33" s="11"/>
      <c r="P33" s="11"/>
      <c r="Q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4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2:52" ht="20" hidden="1" customHeight="1" outlineLevel="1" x14ac:dyDescent="0.35">
      <c r="B34" s="11" t="s">
        <v>78</v>
      </c>
      <c r="C34" s="42">
        <v>1.4999999999999999E-2</v>
      </c>
      <c r="E34" s="10"/>
      <c r="I34" s="11"/>
      <c r="J34" s="157"/>
      <c r="K34" s="231"/>
      <c r="L34" s="231"/>
      <c r="M34" s="231"/>
      <c r="N34" s="11"/>
      <c r="O34" s="11"/>
      <c r="P34" s="11"/>
      <c r="Q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4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2:52" ht="20" hidden="1" customHeight="1" outlineLevel="1" x14ac:dyDescent="0.35">
      <c r="B35" s="11" t="s">
        <v>69</v>
      </c>
      <c r="C35" s="47">
        <v>0</v>
      </c>
      <c r="E35" s="10"/>
      <c r="I35" s="11"/>
      <c r="J35" s="157"/>
      <c r="K35" s="157"/>
      <c r="L35" s="11"/>
      <c r="M35" s="11"/>
      <c r="N35" s="11"/>
      <c r="O35" s="11"/>
      <c r="P35" s="11"/>
      <c r="Q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4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</row>
    <row r="36" spans="2:52" ht="20" hidden="1" customHeight="1" outlineLevel="1" x14ac:dyDescent="0.35">
      <c r="B36" s="11" t="s">
        <v>77</v>
      </c>
      <c r="C36" s="42">
        <v>0.02</v>
      </c>
      <c r="D36" s="10"/>
      <c r="E36" s="166"/>
      <c r="F36" s="23"/>
      <c r="G36" s="23"/>
      <c r="I36" s="11"/>
      <c r="J36" s="157"/>
      <c r="K36" s="158"/>
      <c r="L36" s="11"/>
      <c r="M36" s="11"/>
      <c r="N36" s="11"/>
      <c r="O36" s="11"/>
      <c r="P36" s="11"/>
      <c r="Q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4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2:52" ht="20" hidden="1" customHeight="1" outlineLevel="1" x14ac:dyDescent="0.35">
      <c r="B37" s="11" t="s">
        <v>70</v>
      </c>
      <c r="C37" s="23">
        <f>C12*$C$36</f>
        <v>2368800.0000000005</v>
      </c>
      <c r="D37" s="10"/>
      <c r="E37" s="10"/>
      <c r="I37" s="52"/>
      <c r="J37" s="157"/>
      <c r="K37" s="158"/>
      <c r="L37" s="11"/>
      <c r="M37" s="11"/>
      <c r="N37" s="11"/>
      <c r="O37" s="11"/>
      <c r="P37" s="11"/>
      <c r="Q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4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2:52" ht="20" hidden="1" customHeight="1" outlineLevel="1" x14ac:dyDescent="0.35">
      <c r="B38" s="11" t="s">
        <v>113</v>
      </c>
      <c r="C38" s="23">
        <f>C27*C9</f>
        <v>2516850</v>
      </c>
      <c r="D38" s="10"/>
      <c r="E38" s="10"/>
      <c r="I38" s="11"/>
      <c r="J38" s="11"/>
      <c r="K38" s="11"/>
      <c r="L38" s="11"/>
      <c r="M38" s="11"/>
      <c r="N38" s="11"/>
      <c r="O38" s="11"/>
      <c r="P38" s="11"/>
      <c r="Q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4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2:52" ht="20" hidden="1" customHeight="1" outlineLevel="1" x14ac:dyDescent="0.35">
      <c r="B39" s="26" t="s">
        <v>248</v>
      </c>
      <c r="C39" s="27">
        <f>(C38+C37+C35)/C9</f>
        <v>16500</v>
      </c>
      <c r="D39" s="10"/>
      <c r="E39" s="23"/>
      <c r="F39" s="23"/>
      <c r="G39" s="23"/>
      <c r="H39" s="23"/>
      <c r="I39" s="11"/>
      <c r="J39" s="11"/>
      <c r="K39" s="11"/>
      <c r="L39" s="11"/>
      <c r="M39" s="11"/>
      <c r="N39" s="11"/>
      <c r="O39" s="11"/>
      <c r="P39" s="11"/>
      <c r="Q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4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2:52" ht="20" hidden="1" customHeight="1" outlineLevel="1" x14ac:dyDescent="0.35">
      <c r="B40" s="30" t="s">
        <v>91</v>
      </c>
      <c r="C40" s="17">
        <v>0</v>
      </c>
      <c r="D40" s="10"/>
      <c r="E40" s="23"/>
      <c r="F40" s="23"/>
      <c r="G40" s="23"/>
      <c r="H40" s="2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4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2:52" ht="20" hidden="1" customHeight="1" outlineLevel="1" x14ac:dyDescent="0.35">
      <c r="B41" s="43" t="s">
        <v>43</v>
      </c>
      <c r="C41" s="44">
        <f>C35+C37+C38+C40</f>
        <v>4885650</v>
      </c>
      <c r="E41" s="19"/>
      <c r="F41" s="19"/>
      <c r="G41" s="19"/>
      <c r="H41" s="19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4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2:52" ht="20" hidden="1" customHeight="1" outlineLevel="1" x14ac:dyDescent="0.35">
      <c r="B42" s="45" t="s">
        <v>71</v>
      </c>
      <c r="C42" s="17">
        <v>250000</v>
      </c>
      <c r="E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4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2:52" ht="20" hidden="1" customHeight="1" outlineLevel="1" x14ac:dyDescent="0.35">
      <c r="D43" s="10"/>
      <c r="E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2:52" ht="20" hidden="1" customHeight="1" outlineLevel="1" x14ac:dyDescent="0.35">
      <c r="B44" s="13" t="s">
        <v>8</v>
      </c>
      <c r="C44" s="14"/>
      <c r="D44" s="17"/>
      <c r="E44" s="23"/>
      <c r="F44" s="23"/>
      <c r="G44" s="23"/>
      <c r="H44" s="2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2:52" ht="20" hidden="1" customHeight="1" outlineLevel="1" x14ac:dyDescent="0.35">
      <c r="B45" s="11" t="s">
        <v>11</v>
      </c>
      <c r="C45" s="37">
        <v>0.05</v>
      </c>
      <c r="D45" s="17"/>
      <c r="E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2:52" ht="20" hidden="1" customHeight="1" outlineLevel="1" x14ac:dyDescent="0.35">
      <c r="B46" s="11" t="s">
        <v>12</v>
      </c>
      <c r="C46" s="37">
        <v>0.01</v>
      </c>
      <c r="D46" s="17"/>
      <c r="E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2:52" ht="20" hidden="1" customHeight="1" outlineLevel="1" x14ac:dyDescent="0.35">
      <c r="B47" s="11" t="s">
        <v>79</v>
      </c>
      <c r="C47" s="37">
        <v>0.05</v>
      </c>
      <c r="D47" s="46"/>
      <c r="E47" s="1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2:52" ht="20" hidden="1" customHeight="1" outlineLevel="1" x14ac:dyDescent="0.35">
      <c r="C48" s="42"/>
      <c r="D48" s="47"/>
      <c r="E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2:52" ht="20" hidden="1" customHeight="1" outlineLevel="1" x14ac:dyDescent="0.35">
      <c r="B49" s="13" t="s">
        <v>75</v>
      </c>
      <c r="C49" s="14"/>
      <c r="D49" s="17"/>
      <c r="E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23"/>
      <c r="U49" s="23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2:52" ht="20" hidden="1" customHeight="1" outlineLevel="1" x14ac:dyDescent="0.35">
      <c r="B50" s="52" t="s">
        <v>157</v>
      </c>
      <c r="E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3"/>
      <c r="U50" s="23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</row>
    <row r="51" spans="2:52" ht="20" hidden="1" customHeight="1" outlineLevel="1" x14ac:dyDescent="0.35">
      <c r="B51" s="11" t="s">
        <v>137</v>
      </c>
      <c r="C51" s="37">
        <v>0</v>
      </c>
      <c r="D51" s="17"/>
      <c r="E51" s="37"/>
      <c r="F51" s="37"/>
      <c r="G51" s="37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23"/>
      <c r="U51" s="23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</row>
    <row r="52" spans="2:52" ht="20" hidden="1" customHeight="1" outlineLevel="1" x14ac:dyDescent="0.35">
      <c r="B52" s="11" t="s">
        <v>139</v>
      </c>
      <c r="C52" s="37">
        <v>0.5</v>
      </c>
      <c r="D52" s="10"/>
      <c r="E52" s="37"/>
      <c r="F52" s="37"/>
      <c r="G52" s="37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48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</row>
    <row r="53" spans="2:52" ht="20" hidden="1" customHeight="1" outlineLevel="1" x14ac:dyDescent="0.35">
      <c r="B53" s="11" t="s">
        <v>138</v>
      </c>
      <c r="C53" s="105">
        <f>1-C52</f>
        <v>0.5</v>
      </c>
      <c r="D53" s="10"/>
      <c r="E53" s="37"/>
      <c r="F53" s="37"/>
      <c r="G53" s="3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48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</row>
    <row r="54" spans="2:52" ht="20" hidden="1" customHeight="1" outlineLevel="1" x14ac:dyDescent="0.35">
      <c r="B54" s="11" t="s">
        <v>152</v>
      </c>
      <c r="C54" s="23">
        <f>$N$15*C55</f>
        <v>0</v>
      </c>
      <c r="D54" s="10"/>
      <c r="E54" s="37"/>
      <c r="F54" s="37"/>
      <c r="G54" s="3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48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2:52" ht="20" hidden="1" customHeight="1" outlineLevel="1" x14ac:dyDescent="0.35">
      <c r="B55" s="11" t="s">
        <v>140</v>
      </c>
      <c r="C55" s="37">
        <v>0</v>
      </c>
      <c r="D55" s="9"/>
      <c r="E55" s="37"/>
      <c r="F55" s="37"/>
      <c r="G55" s="3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48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</row>
    <row r="56" spans="2:52" ht="20" hidden="1" customHeight="1" outlineLevel="1" x14ac:dyDescent="0.35">
      <c r="B56" s="52" t="s">
        <v>158</v>
      </c>
      <c r="C56" s="37"/>
      <c r="D56" s="9"/>
      <c r="E56" s="37"/>
      <c r="F56" s="37"/>
      <c r="G56" s="37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8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2:52" ht="20" hidden="1" customHeight="1" outlineLevel="1" x14ac:dyDescent="0.35">
      <c r="B57" s="11" t="s">
        <v>137</v>
      </c>
      <c r="C57" s="37">
        <v>0.25</v>
      </c>
      <c r="D57" s="9"/>
      <c r="E57" s="37"/>
      <c r="F57" s="37"/>
      <c r="G57" s="37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48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spans="2:52" ht="20" hidden="1" customHeight="1" outlineLevel="1" x14ac:dyDescent="0.35">
      <c r="B58" s="11" t="s">
        <v>152</v>
      </c>
      <c r="C58" s="23">
        <f>ROUND(N8+N9,-7)</f>
        <v>50000000</v>
      </c>
      <c r="D58" s="9"/>
      <c r="E58" s="37"/>
      <c r="F58" s="37"/>
      <c r="G58" s="37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48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</row>
    <row r="59" spans="2:52" ht="20" hidden="1" customHeight="1" outlineLevel="1" x14ac:dyDescent="0.35">
      <c r="B59" s="52" t="s">
        <v>178</v>
      </c>
      <c r="C59" s="37"/>
      <c r="D59" s="9"/>
      <c r="E59" s="37"/>
      <c r="F59" s="37"/>
      <c r="G59" s="37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48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</row>
    <row r="60" spans="2:52" ht="20" hidden="1" customHeight="1" outlineLevel="1" x14ac:dyDescent="0.35">
      <c r="B60" s="11" t="s">
        <v>179</v>
      </c>
      <c r="C60" s="37">
        <v>0.3</v>
      </c>
      <c r="D60" s="9"/>
      <c r="E60" s="37"/>
      <c r="F60" s="37"/>
      <c r="G60" s="37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48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2:52" ht="20" hidden="1" customHeight="1" outlineLevel="1" x14ac:dyDescent="0.35">
      <c r="B61" s="11" t="s">
        <v>180</v>
      </c>
      <c r="C61" s="17">
        <v>1</v>
      </c>
      <c r="D61" s="9"/>
      <c r="E61" s="37"/>
      <c r="F61" s="37"/>
      <c r="G61" s="37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48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2:52" ht="20" hidden="1" customHeight="1" outlineLevel="1" x14ac:dyDescent="0.35">
      <c r="B62" s="11" t="s">
        <v>181</v>
      </c>
      <c r="C62" s="32">
        <f>EDATE(C11,12*C61)</f>
        <v>46387</v>
      </c>
      <c r="D62" s="9"/>
      <c r="E62" s="37"/>
      <c r="F62" s="37"/>
      <c r="G62" s="37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48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</row>
    <row r="63" spans="2:52" ht="20" hidden="1" customHeight="1" outlineLevel="1" x14ac:dyDescent="0.35">
      <c r="C63" s="37"/>
      <c r="D63" s="9"/>
      <c r="E63" s="37"/>
      <c r="F63" s="37"/>
      <c r="G63" s="37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48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</row>
    <row r="64" spans="2:52" ht="20" hidden="1" customHeight="1" outlineLevel="1" x14ac:dyDescent="0.35">
      <c r="C64" s="37"/>
      <c r="D64" s="9"/>
      <c r="E64" s="37"/>
      <c r="F64" s="37"/>
      <c r="G64" s="37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48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</row>
    <row r="65" spans="2:65" ht="20" hidden="1" customHeight="1" outlineLevel="1" x14ac:dyDescent="0.35">
      <c r="D65" s="9"/>
      <c r="E65" s="37"/>
      <c r="F65" s="37"/>
      <c r="G65" s="37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47"/>
      <c r="U65" s="47"/>
      <c r="V65" s="47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</row>
    <row r="66" spans="2:65" ht="20" hidden="1" customHeight="1" outlineLevel="1" x14ac:dyDescent="0.35">
      <c r="B66" s="13" t="s">
        <v>73</v>
      </c>
      <c r="C66" s="14"/>
      <c r="D66" s="10"/>
      <c r="E66" s="14" t="s">
        <v>2</v>
      </c>
      <c r="F66" s="14" t="s">
        <v>81</v>
      </c>
      <c r="G66" s="14" t="s">
        <v>82</v>
      </c>
      <c r="R66" s="23"/>
      <c r="S66" s="23"/>
      <c r="T66" s="23"/>
      <c r="U66" s="23"/>
      <c r="V66" s="23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</row>
    <row r="67" spans="2:65" ht="20" hidden="1" customHeight="1" outlineLevel="1" x14ac:dyDescent="0.35">
      <c r="B67" s="49" t="s">
        <v>13</v>
      </c>
      <c r="C67" s="50">
        <v>5.9999999999999995E-4</v>
      </c>
      <c r="D67" s="10"/>
      <c r="E67" s="37"/>
      <c r="F67" s="37"/>
      <c r="G67" s="37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</row>
    <row r="68" spans="2:65" ht="20" hidden="1" customHeight="1" outlineLevel="1" x14ac:dyDescent="0.35">
      <c r="B68" s="49" t="s">
        <v>14</v>
      </c>
      <c r="C68" s="17">
        <v>1000000</v>
      </c>
      <c r="D68" s="10"/>
      <c r="E68" s="37"/>
      <c r="F68" s="37"/>
      <c r="G68" s="37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</row>
    <row r="69" spans="2:65" ht="20" hidden="1" customHeight="1" outlineLevel="1" x14ac:dyDescent="0.35">
      <c r="B69" s="11" t="s">
        <v>109</v>
      </c>
      <c r="C69" s="51">
        <v>0.25</v>
      </c>
      <c r="D69" s="10"/>
      <c r="E69" s="17"/>
      <c r="F69" s="17"/>
      <c r="G69" s="17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</row>
    <row r="70" spans="2:65" ht="20" hidden="1" customHeight="1" outlineLevel="1" x14ac:dyDescent="0.35">
      <c r="B70" s="11" t="s">
        <v>112</v>
      </c>
      <c r="C70" s="51">
        <v>0.22</v>
      </c>
      <c r="D70" s="10"/>
      <c r="E70" s="17"/>
      <c r="F70" s="17"/>
      <c r="G70" s="17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</row>
    <row r="71" spans="2:65" ht="20" hidden="1" customHeight="1" outlineLevel="1" x14ac:dyDescent="0.35">
      <c r="B71" s="11" t="s">
        <v>126</v>
      </c>
      <c r="C71" s="160">
        <f>SUMPRODUCT($F$113:$AZ$113,$F$97:$AZ$97)</f>
        <v>46387</v>
      </c>
      <c r="D71" s="10"/>
      <c r="E71" s="17"/>
      <c r="F71" s="17"/>
      <c r="G71" s="17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</row>
    <row r="72" spans="2:65" ht="20" hidden="1" customHeight="1" outlineLevel="1" x14ac:dyDescent="0.35">
      <c r="B72" s="11" t="s">
        <v>92</v>
      </c>
      <c r="C72" s="37">
        <v>0.05</v>
      </c>
      <c r="D72" s="10"/>
      <c r="E72" s="10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</row>
    <row r="73" spans="2:65" s="52" customFormat="1" ht="20" hidden="1" customHeight="1" outlineLevel="1" x14ac:dyDescent="0.35">
      <c r="B73" s="11" t="s">
        <v>150</v>
      </c>
      <c r="C73" s="48">
        <f>CHOOSE($C$1,E73,F73,G73)</f>
        <v>0.08</v>
      </c>
      <c r="D73" s="38"/>
      <c r="E73" s="37">
        <v>0.08</v>
      </c>
      <c r="F73" s="37">
        <f>E73-0.5%</f>
        <v>7.4999999999999997E-2</v>
      </c>
      <c r="G73" s="50">
        <f>E73+0.25%</f>
        <v>8.2500000000000004E-2</v>
      </c>
      <c r="M73" s="10"/>
      <c r="N73" s="10"/>
      <c r="O73" s="10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</row>
    <row r="74" spans="2:65" s="52" customFormat="1" ht="20" customHeight="1" collapsed="1" x14ac:dyDescent="0.35">
      <c r="B74" s="11"/>
      <c r="C74" s="11"/>
      <c r="D74" s="10"/>
      <c r="M74" s="10"/>
      <c r="N74" s="10"/>
      <c r="O74" s="10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</row>
    <row r="75" spans="2:65" s="52" customFormat="1" ht="20" hidden="1" customHeight="1" outlineLevel="1" x14ac:dyDescent="0.35">
      <c r="B75" s="13" t="s">
        <v>161</v>
      </c>
      <c r="C75" s="14"/>
      <c r="D75" s="10"/>
      <c r="M75" s="10"/>
      <c r="N75" s="10"/>
      <c r="O75" s="10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</row>
    <row r="76" spans="2:65" s="52" customFormat="1" ht="20" hidden="1" customHeight="1" outlineLevel="1" x14ac:dyDescent="0.35">
      <c r="B76" s="43" t="s">
        <v>165</v>
      </c>
      <c r="C76" s="44">
        <f>SUM(C77:C80)</f>
        <v>265000000</v>
      </c>
      <c r="D76" s="10"/>
      <c r="M76" s="10"/>
      <c r="N76" s="10"/>
      <c r="O76" s="10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</row>
    <row r="77" spans="2:65" s="52" customFormat="1" ht="20" hidden="1" customHeight="1" outlineLevel="1" x14ac:dyDescent="0.35">
      <c r="B77" s="11" t="s">
        <v>162</v>
      </c>
      <c r="C77" s="23">
        <f>SUMIF($F$118:$K$118,A82,$F$119:$K$119)</f>
        <v>70000000</v>
      </c>
      <c r="D77" s="10"/>
      <c r="M77" s="10"/>
      <c r="N77" s="10"/>
      <c r="O77" s="10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</row>
    <row r="78" spans="2:65" s="52" customFormat="1" ht="20" hidden="1" customHeight="1" outlineLevel="1" x14ac:dyDescent="0.35">
      <c r="B78" s="11" t="s">
        <v>163</v>
      </c>
      <c r="C78" s="23">
        <f>SUMIF($F$118:$K$118,A83,$F$119:$K$119)</f>
        <v>60000000</v>
      </c>
      <c r="D78" s="10"/>
      <c r="M78" s="10"/>
      <c r="N78" s="10"/>
      <c r="O78" s="10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</row>
    <row r="79" spans="2:65" s="52" customFormat="1" ht="20" hidden="1" customHeight="1" outlineLevel="1" x14ac:dyDescent="0.35">
      <c r="B79" s="11" t="s">
        <v>164</v>
      </c>
      <c r="C79" s="23">
        <f>SUMIF($F$118:$K$118,A84,$F$119:$K$119)</f>
        <v>50000000</v>
      </c>
      <c r="D79" s="10"/>
      <c r="M79" s="10"/>
      <c r="N79" s="10"/>
      <c r="O79" s="10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</row>
    <row r="80" spans="2:65" s="52" customFormat="1" ht="20" hidden="1" customHeight="1" outlineLevel="1" x14ac:dyDescent="0.35">
      <c r="B80" s="11" t="s">
        <v>258</v>
      </c>
      <c r="C80" s="23">
        <f>SUMIF($F$118:$K$118,A85,$F$119:$K$119)</f>
        <v>85000000</v>
      </c>
      <c r="D80" s="10"/>
      <c r="M80" s="10"/>
      <c r="N80" s="10"/>
      <c r="O80" s="10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</row>
    <row r="81" spans="1:65" s="52" customFormat="1" ht="20" hidden="1" customHeight="1" outlineLevel="1" x14ac:dyDescent="0.35">
      <c r="B81" s="43" t="s">
        <v>61</v>
      </c>
      <c r="C81" s="44">
        <f>SUM(C82:C85)/4</f>
        <v>10875</v>
      </c>
      <c r="D81" s="10"/>
      <c r="M81" s="10"/>
      <c r="N81" s="10"/>
      <c r="O81" s="10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</row>
    <row r="82" spans="1:65" s="52" customFormat="1" ht="20" hidden="1" customHeight="1" outlineLevel="1" x14ac:dyDescent="0.35">
      <c r="A82" s="165">
        <v>1</v>
      </c>
      <c r="B82" s="11" t="s">
        <v>162</v>
      </c>
      <c r="C82" s="17">
        <v>10000</v>
      </c>
      <c r="D82" s="10"/>
      <c r="M82" s="10"/>
      <c r="N82" s="10"/>
      <c r="O82" s="10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</row>
    <row r="83" spans="1:65" s="52" customFormat="1" ht="20" hidden="1" customHeight="1" outlineLevel="1" x14ac:dyDescent="0.35">
      <c r="A83" s="165">
        <v>2</v>
      </c>
      <c r="B83" s="11" t="s">
        <v>163</v>
      </c>
      <c r="C83" s="17">
        <v>10500</v>
      </c>
      <c r="D83" s="10"/>
      <c r="E83" s="229"/>
      <c r="M83" s="10"/>
      <c r="N83" s="10"/>
      <c r="O83" s="10"/>
      <c r="BC83" s="234"/>
      <c r="BD83" s="234"/>
      <c r="BE83" s="234"/>
      <c r="BF83" s="234"/>
      <c r="BG83" s="234"/>
      <c r="BH83" s="234"/>
      <c r="BI83" s="234"/>
      <c r="BJ83" s="234"/>
      <c r="BK83" s="234"/>
      <c r="BL83" s="234"/>
      <c r="BM83" s="234"/>
    </row>
    <row r="84" spans="1:65" s="52" customFormat="1" ht="20" hidden="1" customHeight="1" outlineLevel="1" x14ac:dyDescent="0.35">
      <c r="A84" s="165">
        <v>3</v>
      </c>
      <c r="B84" s="11" t="s">
        <v>164</v>
      </c>
      <c r="C84" s="17">
        <v>11250</v>
      </c>
      <c r="D84" s="10"/>
      <c r="E84" s="230"/>
      <c r="M84" s="10"/>
      <c r="N84" s="10"/>
      <c r="O84" s="10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</row>
    <row r="85" spans="1:65" s="52" customFormat="1" ht="20" hidden="1" customHeight="1" outlineLevel="1" x14ac:dyDescent="0.35">
      <c r="A85" s="165">
        <v>4</v>
      </c>
      <c r="B85" s="11" t="s">
        <v>258</v>
      </c>
      <c r="C85" s="17">
        <v>11750</v>
      </c>
      <c r="D85" s="10"/>
      <c r="E85" s="230"/>
      <c r="M85" s="10"/>
      <c r="N85" s="10"/>
      <c r="O85" s="10"/>
      <c r="BC85" s="234"/>
      <c r="BD85" s="234"/>
      <c r="BE85" s="234"/>
      <c r="BF85" s="234"/>
      <c r="BG85" s="234"/>
      <c r="BH85" s="234"/>
      <c r="BI85" s="234"/>
      <c r="BJ85" s="234"/>
      <c r="BK85" s="234"/>
      <c r="BL85" s="234"/>
      <c r="BM85" s="234"/>
    </row>
    <row r="86" spans="1:65" s="52" customFormat="1" ht="20" hidden="1" customHeight="1" outlineLevel="1" x14ac:dyDescent="0.35">
      <c r="B86" s="43" t="s">
        <v>166</v>
      </c>
      <c r="C86" s="44">
        <f>SUM(C87:C90)</f>
        <v>24392.772711921647</v>
      </c>
      <c r="D86" s="10"/>
      <c r="M86" s="10"/>
      <c r="N86" s="10"/>
      <c r="O86" s="10"/>
      <c r="BC86" s="234"/>
      <c r="BD86" s="234"/>
      <c r="BE86" s="234"/>
      <c r="BF86" s="234"/>
      <c r="BG86" s="234"/>
      <c r="BH86" s="234"/>
      <c r="BI86" s="234"/>
      <c r="BJ86" s="234"/>
      <c r="BK86" s="234"/>
      <c r="BL86" s="234"/>
      <c r="BM86" s="234"/>
    </row>
    <row r="87" spans="1:65" s="52" customFormat="1" ht="20" hidden="1" customHeight="1" outlineLevel="1" x14ac:dyDescent="0.35">
      <c r="B87" s="11" t="s">
        <v>162</v>
      </c>
      <c r="C87" s="23">
        <f>SUMIF($F$118:$K$118,A82,$F$121:$K$121)</f>
        <v>7000</v>
      </c>
      <c r="D87" s="10"/>
      <c r="M87" s="10"/>
      <c r="N87" s="10"/>
      <c r="O87" s="10"/>
      <c r="BC87" s="234"/>
      <c r="BD87" s="234"/>
      <c r="BE87" s="234"/>
      <c r="BF87" s="234"/>
      <c r="BG87" s="234"/>
      <c r="BH87" s="234"/>
      <c r="BI87" s="234"/>
      <c r="BJ87" s="234"/>
      <c r="BK87" s="234"/>
      <c r="BL87" s="234"/>
      <c r="BM87" s="234"/>
    </row>
    <row r="88" spans="1:65" s="52" customFormat="1" ht="20" hidden="1" customHeight="1" outlineLevel="1" x14ac:dyDescent="0.35">
      <c r="B88" s="11" t="s">
        <v>163</v>
      </c>
      <c r="C88" s="23">
        <f>SUMIF($F$118:$K$118,A83,$F$121:$K$121)</f>
        <v>5714.2857142857147</v>
      </c>
      <c r="D88" s="10"/>
      <c r="M88" s="10"/>
      <c r="N88" s="10"/>
      <c r="O88" s="10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</row>
    <row r="89" spans="1:65" s="52" customFormat="1" ht="20" hidden="1" customHeight="1" outlineLevel="1" x14ac:dyDescent="0.35">
      <c r="B89" s="11" t="s">
        <v>164</v>
      </c>
      <c r="C89" s="23">
        <f>SUMIF($F$118:$K$118,A84,$F$121:$K$121)</f>
        <v>4444.4444444444443</v>
      </c>
      <c r="D89" s="10"/>
      <c r="K89" s="164"/>
      <c r="M89" s="10"/>
      <c r="N89" s="10"/>
      <c r="O89" s="10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</row>
    <row r="90" spans="1:65" s="52" customFormat="1" ht="20" hidden="1" customHeight="1" outlineLevel="1" x14ac:dyDescent="0.35">
      <c r="B90" s="11" t="s">
        <v>258</v>
      </c>
      <c r="C90" s="23">
        <f>SUMIF($F$118:$K$118,A85,$F$121:$K$121)</f>
        <v>7234.0425531914889</v>
      </c>
      <c r="D90" s="10"/>
      <c r="M90" s="10"/>
      <c r="N90" s="10"/>
      <c r="O90" s="10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</row>
    <row r="91" spans="1:65" s="52" customFormat="1" ht="20" hidden="1" customHeight="1" outlineLevel="1" x14ac:dyDescent="0.35">
      <c r="B91" s="11"/>
      <c r="C91" s="11"/>
      <c r="D91" s="10"/>
      <c r="F91" s="163"/>
      <c r="G91" s="163"/>
      <c r="H91" s="163"/>
      <c r="I91" s="163"/>
      <c r="J91" s="163"/>
      <c r="K91" s="163"/>
      <c r="M91" s="10"/>
      <c r="N91" s="10"/>
      <c r="O91" s="10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</row>
    <row r="92" spans="1:65" s="52" customFormat="1" ht="20" hidden="1" customHeight="1" outlineLevel="1" x14ac:dyDescent="0.35">
      <c r="B92" s="11"/>
      <c r="C92" s="11"/>
      <c r="D92" s="10"/>
      <c r="M92" s="10"/>
      <c r="N92" s="10"/>
      <c r="O92" s="10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</row>
    <row r="93" spans="1:65" ht="20" hidden="1" customHeight="1" outlineLevel="1" x14ac:dyDescent="0.35">
      <c r="A93" s="56"/>
      <c r="E93" s="10"/>
      <c r="G93" s="54"/>
      <c r="H93" s="54"/>
      <c r="O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</row>
    <row r="94" spans="1:65" ht="20" hidden="1" customHeight="1" outlineLevel="1" x14ac:dyDescent="0.35">
      <c r="B94" s="57" t="s">
        <v>46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</row>
    <row r="95" spans="1:65" ht="20" hidden="1" customHeight="1" outlineLevel="1" x14ac:dyDescent="0.35">
      <c r="B95" s="11" t="s">
        <v>16</v>
      </c>
      <c r="C95" s="42"/>
      <c r="D95" s="10"/>
      <c r="E95" s="42"/>
      <c r="F95" s="58">
        <f>YEAR(F97)</f>
        <v>2025</v>
      </c>
      <c r="G95" s="58">
        <f>YEAR(G97)</f>
        <v>2026</v>
      </c>
      <c r="H95" s="58">
        <f>YEAR(H97)</f>
        <v>2026</v>
      </c>
      <c r="I95" s="58">
        <f>YEAR(I97)</f>
        <v>2026</v>
      </c>
      <c r="J95" s="58">
        <f t="shared" ref="J95:AD95" si="3">YEAR(J97)</f>
        <v>2026</v>
      </c>
      <c r="K95" s="58">
        <f>YEAR(K97)</f>
        <v>2027</v>
      </c>
      <c r="L95" s="58">
        <f t="shared" si="3"/>
        <v>2027</v>
      </c>
      <c r="M95" s="58">
        <f t="shared" si="3"/>
        <v>2027</v>
      </c>
      <c r="N95" s="58">
        <f t="shared" si="3"/>
        <v>2027</v>
      </c>
      <c r="O95" s="58">
        <f t="shared" si="3"/>
        <v>2028</v>
      </c>
      <c r="P95" s="58">
        <f t="shared" si="3"/>
        <v>2028</v>
      </c>
      <c r="Q95" s="58">
        <f t="shared" si="3"/>
        <v>2028</v>
      </c>
      <c r="R95" s="58">
        <f t="shared" si="3"/>
        <v>2028</v>
      </c>
      <c r="S95" s="58">
        <f t="shared" si="3"/>
        <v>2029</v>
      </c>
      <c r="T95" s="58">
        <f t="shared" si="3"/>
        <v>2029</v>
      </c>
      <c r="U95" s="58">
        <f t="shared" si="3"/>
        <v>2029</v>
      </c>
      <c r="V95" s="58">
        <f t="shared" si="3"/>
        <v>2029</v>
      </c>
      <c r="W95" s="58">
        <f t="shared" si="3"/>
        <v>2030</v>
      </c>
      <c r="X95" s="58">
        <f t="shared" si="3"/>
        <v>2030</v>
      </c>
      <c r="Y95" s="58">
        <f t="shared" si="3"/>
        <v>2030</v>
      </c>
      <c r="Z95" s="58">
        <f t="shared" si="3"/>
        <v>2030</v>
      </c>
      <c r="AA95" s="58">
        <f t="shared" si="3"/>
        <v>2031</v>
      </c>
      <c r="AB95" s="58">
        <f t="shared" si="3"/>
        <v>2031</v>
      </c>
      <c r="AC95" s="58">
        <f t="shared" si="3"/>
        <v>2031</v>
      </c>
      <c r="AD95" s="58">
        <f t="shared" si="3"/>
        <v>2031</v>
      </c>
      <c r="AE95" s="58">
        <f t="shared" ref="AE95:AT95" si="4">YEAR(AE97)</f>
        <v>2032</v>
      </c>
      <c r="AF95" s="58">
        <f t="shared" si="4"/>
        <v>2032</v>
      </c>
      <c r="AG95" s="58">
        <f t="shared" si="4"/>
        <v>2032</v>
      </c>
      <c r="AH95" s="58">
        <f t="shared" si="4"/>
        <v>2032</v>
      </c>
      <c r="AI95" s="58">
        <f t="shared" si="4"/>
        <v>2033</v>
      </c>
      <c r="AJ95" s="58">
        <f t="shared" si="4"/>
        <v>2033</v>
      </c>
      <c r="AK95" s="58">
        <f t="shared" si="4"/>
        <v>2033</v>
      </c>
      <c r="AL95" s="58">
        <f t="shared" si="4"/>
        <v>2033</v>
      </c>
      <c r="AM95" s="58">
        <f t="shared" si="4"/>
        <v>2034</v>
      </c>
      <c r="AN95" s="58">
        <f t="shared" si="4"/>
        <v>2034</v>
      </c>
      <c r="AO95" s="58">
        <f t="shared" si="4"/>
        <v>2034</v>
      </c>
      <c r="AP95" s="58">
        <f t="shared" si="4"/>
        <v>2034</v>
      </c>
      <c r="AQ95" s="58">
        <f t="shared" si="4"/>
        <v>2035</v>
      </c>
      <c r="AR95" s="58">
        <f t="shared" si="4"/>
        <v>2035</v>
      </c>
      <c r="AS95" s="58">
        <f t="shared" si="4"/>
        <v>2035</v>
      </c>
      <c r="AT95" s="58">
        <f t="shared" si="4"/>
        <v>2035</v>
      </c>
      <c r="AU95" s="58">
        <f t="shared" ref="AU95:AZ95" si="5">YEAR(AU97)</f>
        <v>2036</v>
      </c>
      <c r="AV95" s="58">
        <f t="shared" si="5"/>
        <v>2036</v>
      </c>
      <c r="AW95" s="58">
        <f t="shared" si="5"/>
        <v>2036</v>
      </c>
      <c r="AX95" s="58">
        <f t="shared" si="5"/>
        <v>2036</v>
      </c>
      <c r="AY95" s="58">
        <f t="shared" si="5"/>
        <v>2037</v>
      </c>
      <c r="AZ95" s="58">
        <f t="shared" si="5"/>
        <v>2037</v>
      </c>
    </row>
    <row r="96" spans="1:65" ht="20" hidden="1" customHeight="1" outlineLevel="1" x14ac:dyDescent="0.35">
      <c r="B96" s="11" t="s">
        <v>17</v>
      </c>
      <c r="C96" s="42"/>
      <c r="D96" s="59"/>
      <c r="E96" s="42"/>
      <c r="F96" s="23" t="s">
        <v>18</v>
      </c>
      <c r="G96" s="23" t="s">
        <v>34</v>
      </c>
      <c r="H96" s="23" t="s">
        <v>41</v>
      </c>
      <c r="I96" s="23" t="s">
        <v>44</v>
      </c>
      <c r="J96" s="23" t="str">
        <f>F96</f>
        <v>4 кв.</v>
      </c>
      <c r="K96" s="23" t="str">
        <f>G96</f>
        <v>1 кв.</v>
      </c>
      <c r="L96" s="23" t="str">
        <f>H96</f>
        <v>2 кв.</v>
      </c>
      <c r="M96" s="23" t="str">
        <f t="shared" ref="M96:AT96" si="6">I96</f>
        <v>3 кв.</v>
      </c>
      <c r="N96" s="23" t="str">
        <f t="shared" si="6"/>
        <v>4 кв.</v>
      </c>
      <c r="O96" s="23" t="str">
        <f t="shared" si="6"/>
        <v>1 кв.</v>
      </c>
      <c r="P96" s="23" t="str">
        <f t="shared" si="6"/>
        <v>2 кв.</v>
      </c>
      <c r="Q96" s="23" t="str">
        <f t="shared" si="6"/>
        <v>3 кв.</v>
      </c>
      <c r="R96" s="23" t="str">
        <f t="shared" si="6"/>
        <v>4 кв.</v>
      </c>
      <c r="S96" s="23" t="str">
        <f t="shared" si="6"/>
        <v>1 кв.</v>
      </c>
      <c r="T96" s="23" t="str">
        <f t="shared" si="6"/>
        <v>2 кв.</v>
      </c>
      <c r="U96" s="23" t="str">
        <f t="shared" si="6"/>
        <v>3 кв.</v>
      </c>
      <c r="V96" s="23" t="str">
        <f t="shared" si="6"/>
        <v>4 кв.</v>
      </c>
      <c r="W96" s="23" t="str">
        <f t="shared" si="6"/>
        <v>1 кв.</v>
      </c>
      <c r="X96" s="23" t="str">
        <f t="shared" si="6"/>
        <v>2 кв.</v>
      </c>
      <c r="Y96" s="23" t="str">
        <f t="shared" si="6"/>
        <v>3 кв.</v>
      </c>
      <c r="Z96" s="23" t="str">
        <f t="shared" si="6"/>
        <v>4 кв.</v>
      </c>
      <c r="AA96" s="23" t="str">
        <f t="shared" si="6"/>
        <v>1 кв.</v>
      </c>
      <c r="AB96" s="23" t="str">
        <f t="shared" si="6"/>
        <v>2 кв.</v>
      </c>
      <c r="AC96" s="23" t="str">
        <f t="shared" si="6"/>
        <v>3 кв.</v>
      </c>
      <c r="AD96" s="23" t="str">
        <f t="shared" si="6"/>
        <v>4 кв.</v>
      </c>
      <c r="AE96" s="23" t="str">
        <f t="shared" si="6"/>
        <v>1 кв.</v>
      </c>
      <c r="AF96" s="23" t="str">
        <f t="shared" si="6"/>
        <v>2 кв.</v>
      </c>
      <c r="AG96" s="23" t="str">
        <f t="shared" si="6"/>
        <v>3 кв.</v>
      </c>
      <c r="AH96" s="23" t="str">
        <f t="shared" si="6"/>
        <v>4 кв.</v>
      </c>
      <c r="AI96" s="23" t="str">
        <f t="shared" si="6"/>
        <v>1 кв.</v>
      </c>
      <c r="AJ96" s="23" t="str">
        <f t="shared" si="6"/>
        <v>2 кв.</v>
      </c>
      <c r="AK96" s="23" t="str">
        <f t="shared" si="6"/>
        <v>3 кв.</v>
      </c>
      <c r="AL96" s="23" t="str">
        <f t="shared" si="6"/>
        <v>4 кв.</v>
      </c>
      <c r="AM96" s="23" t="str">
        <f t="shared" si="6"/>
        <v>1 кв.</v>
      </c>
      <c r="AN96" s="23" t="str">
        <f t="shared" si="6"/>
        <v>2 кв.</v>
      </c>
      <c r="AO96" s="23" t="str">
        <f t="shared" si="6"/>
        <v>3 кв.</v>
      </c>
      <c r="AP96" s="23" t="str">
        <f t="shared" si="6"/>
        <v>4 кв.</v>
      </c>
      <c r="AQ96" s="23" t="str">
        <f t="shared" si="6"/>
        <v>1 кв.</v>
      </c>
      <c r="AR96" s="23" t="str">
        <f t="shared" si="6"/>
        <v>2 кв.</v>
      </c>
      <c r="AS96" s="23" t="str">
        <f t="shared" si="6"/>
        <v>3 кв.</v>
      </c>
      <c r="AT96" s="23" t="str">
        <f t="shared" si="6"/>
        <v>4 кв.</v>
      </c>
      <c r="AU96" s="23" t="str">
        <f t="shared" ref="AU96" si="7">AQ96</f>
        <v>1 кв.</v>
      </c>
      <c r="AV96" s="23" t="str">
        <f t="shared" ref="AV96" si="8">AR96</f>
        <v>2 кв.</v>
      </c>
      <c r="AW96" s="23" t="str">
        <f t="shared" ref="AW96" si="9">AS96</f>
        <v>3 кв.</v>
      </c>
      <c r="AX96" s="23" t="str">
        <f t="shared" ref="AX96" si="10">AT96</f>
        <v>4 кв.</v>
      </c>
      <c r="AY96" s="23" t="str">
        <f t="shared" ref="AY96" si="11">AU96</f>
        <v>1 кв.</v>
      </c>
      <c r="AZ96" s="23" t="str">
        <f t="shared" ref="AZ96" si="12">AV96</f>
        <v>2 кв.</v>
      </c>
    </row>
    <row r="97" spans="2:52" ht="20" hidden="1" customHeight="1" outlineLevel="1" x14ac:dyDescent="0.35">
      <c r="B97" s="11" t="s">
        <v>35</v>
      </c>
      <c r="C97" s="42"/>
      <c r="E97" s="42"/>
      <c r="F97" s="41">
        <f>C11</f>
        <v>46022</v>
      </c>
      <c r="G97" s="41">
        <f>EOMONTH(F97,3)</f>
        <v>46112</v>
      </c>
      <c r="H97" s="41">
        <f t="shared" ref="H97:AZ97" si="13">EOMONTH(G97,3)</f>
        <v>46203</v>
      </c>
      <c r="I97" s="41">
        <f t="shared" si="13"/>
        <v>46295</v>
      </c>
      <c r="J97" s="41">
        <f t="shared" si="13"/>
        <v>46387</v>
      </c>
      <c r="K97" s="41">
        <f t="shared" si="13"/>
        <v>46477</v>
      </c>
      <c r="L97" s="41">
        <f t="shared" si="13"/>
        <v>46568</v>
      </c>
      <c r="M97" s="41">
        <f t="shared" si="13"/>
        <v>46660</v>
      </c>
      <c r="N97" s="41">
        <f t="shared" si="13"/>
        <v>46752</v>
      </c>
      <c r="O97" s="41">
        <f t="shared" si="13"/>
        <v>46843</v>
      </c>
      <c r="P97" s="41">
        <f t="shared" si="13"/>
        <v>46934</v>
      </c>
      <c r="Q97" s="41">
        <f t="shared" si="13"/>
        <v>47026</v>
      </c>
      <c r="R97" s="41">
        <f t="shared" si="13"/>
        <v>47118</v>
      </c>
      <c r="S97" s="41">
        <f t="shared" si="13"/>
        <v>47208</v>
      </c>
      <c r="T97" s="41">
        <f t="shared" si="13"/>
        <v>47299</v>
      </c>
      <c r="U97" s="41">
        <f t="shared" si="13"/>
        <v>47391</v>
      </c>
      <c r="V97" s="41">
        <f t="shared" si="13"/>
        <v>47483</v>
      </c>
      <c r="W97" s="41">
        <f t="shared" si="13"/>
        <v>47573</v>
      </c>
      <c r="X97" s="41">
        <f t="shared" si="13"/>
        <v>47664</v>
      </c>
      <c r="Y97" s="41">
        <f t="shared" si="13"/>
        <v>47756</v>
      </c>
      <c r="Z97" s="41">
        <f t="shared" si="13"/>
        <v>47848</v>
      </c>
      <c r="AA97" s="41">
        <f t="shared" si="13"/>
        <v>47938</v>
      </c>
      <c r="AB97" s="41">
        <f t="shared" si="13"/>
        <v>48029</v>
      </c>
      <c r="AC97" s="41">
        <f t="shared" si="13"/>
        <v>48121</v>
      </c>
      <c r="AD97" s="41">
        <f t="shared" si="13"/>
        <v>48213</v>
      </c>
      <c r="AE97" s="41">
        <f t="shared" si="13"/>
        <v>48304</v>
      </c>
      <c r="AF97" s="41">
        <f t="shared" si="13"/>
        <v>48395</v>
      </c>
      <c r="AG97" s="41">
        <f t="shared" si="13"/>
        <v>48487</v>
      </c>
      <c r="AH97" s="41">
        <f t="shared" si="13"/>
        <v>48579</v>
      </c>
      <c r="AI97" s="41">
        <f t="shared" si="13"/>
        <v>48669</v>
      </c>
      <c r="AJ97" s="41">
        <f t="shared" si="13"/>
        <v>48760</v>
      </c>
      <c r="AK97" s="41">
        <f t="shared" si="13"/>
        <v>48852</v>
      </c>
      <c r="AL97" s="41">
        <f t="shared" si="13"/>
        <v>48944</v>
      </c>
      <c r="AM97" s="41">
        <f t="shared" si="13"/>
        <v>49034</v>
      </c>
      <c r="AN97" s="41">
        <f t="shared" si="13"/>
        <v>49125</v>
      </c>
      <c r="AO97" s="41">
        <f t="shared" si="13"/>
        <v>49217</v>
      </c>
      <c r="AP97" s="41">
        <f t="shared" si="13"/>
        <v>49309</v>
      </c>
      <c r="AQ97" s="41">
        <f t="shared" si="13"/>
        <v>49399</v>
      </c>
      <c r="AR97" s="41">
        <f t="shared" si="13"/>
        <v>49490</v>
      </c>
      <c r="AS97" s="41">
        <f t="shared" si="13"/>
        <v>49582</v>
      </c>
      <c r="AT97" s="41">
        <f t="shared" si="13"/>
        <v>49674</v>
      </c>
      <c r="AU97" s="41">
        <f t="shared" si="13"/>
        <v>49765</v>
      </c>
      <c r="AV97" s="41">
        <f t="shared" si="13"/>
        <v>49856</v>
      </c>
      <c r="AW97" s="41">
        <f t="shared" si="13"/>
        <v>49948</v>
      </c>
      <c r="AX97" s="41">
        <f t="shared" si="13"/>
        <v>50040</v>
      </c>
      <c r="AY97" s="41">
        <f t="shared" si="13"/>
        <v>50130</v>
      </c>
      <c r="AZ97" s="41">
        <f t="shared" si="13"/>
        <v>50221</v>
      </c>
    </row>
    <row r="98" spans="2:52" ht="20" hidden="1" customHeight="1" outlineLevel="1" x14ac:dyDescent="0.35">
      <c r="B98" s="11" t="s">
        <v>100</v>
      </c>
      <c r="C98" s="42"/>
      <c r="E98" s="42"/>
      <c r="F98" s="107">
        <v>1</v>
      </c>
      <c r="G98" s="107">
        <v>1</v>
      </c>
      <c r="H98" s="107">
        <v>1</v>
      </c>
      <c r="I98" s="107">
        <v>1</v>
      </c>
      <c r="J98" s="107">
        <v>1</v>
      </c>
      <c r="K98" s="95">
        <f>G98+1</f>
        <v>2</v>
      </c>
      <c r="L98" s="95">
        <f t="shared" ref="L98:R98" si="14">H98+1</f>
        <v>2</v>
      </c>
      <c r="M98" s="95">
        <f t="shared" si="14"/>
        <v>2</v>
      </c>
      <c r="N98" s="95">
        <f t="shared" si="14"/>
        <v>2</v>
      </c>
      <c r="O98" s="95">
        <f t="shared" si="14"/>
        <v>3</v>
      </c>
      <c r="P98" s="95">
        <f t="shared" si="14"/>
        <v>3</v>
      </c>
      <c r="Q98" s="95">
        <f t="shared" si="14"/>
        <v>3</v>
      </c>
      <c r="R98" s="95">
        <f t="shared" si="14"/>
        <v>3</v>
      </c>
      <c r="S98" s="95">
        <f>O98+1</f>
        <v>4</v>
      </c>
      <c r="T98" s="95">
        <f t="shared" ref="T98" si="15">P98+1</f>
        <v>4</v>
      </c>
      <c r="U98" s="95">
        <f t="shared" ref="U98:AS98" si="16">Q98+1</f>
        <v>4</v>
      </c>
      <c r="V98" s="95">
        <f t="shared" si="16"/>
        <v>4</v>
      </c>
      <c r="W98" s="95">
        <f t="shared" si="16"/>
        <v>5</v>
      </c>
      <c r="X98" s="95">
        <f t="shared" si="16"/>
        <v>5</v>
      </c>
      <c r="Y98" s="95">
        <f t="shared" si="16"/>
        <v>5</v>
      </c>
      <c r="Z98" s="95">
        <f t="shared" si="16"/>
        <v>5</v>
      </c>
      <c r="AA98" s="95">
        <f t="shared" si="16"/>
        <v>6</v>
      </c>
      <c r="AB98" s="95">
        <f t="shared" si="16"/>
        <v>6</v>
      </c>
      <c r="AC98" s="95">
        <f t="shared" si="16"/>
        <v>6</v>
      </c>
      <c r="AD98" s="95">
        <f t="shared" si="16"/>
        <v>6</v>
      </c>
      <c r="AE98" s="95">
        <f t="shared" si="16"/>
        <v>7</v>
      </c>
      <c r="AF98" s="95">
        <f t="shared" si="16"/>
        <v>7</v>
      </c>
      <c r="AG98" s="95">
        <f t="shared" si="16"/>
        <v>7</v>
      </c>
      <c r="AH98" s="95">
        <f t="shared" si="16"/>
        <v>7</v>
      </c>
      <c r="AI98" s="95">
        <f t="shared" si="16"/>
        <v>8</v>
      </c>
      <c r="AJ98" s="95">
        <f t="shared" si="16"/>
        <v>8</v>
      </c>
      <c r="AK98" s="95">
        <f t="shared" si="16"/>
        <v>8</v>
      </c>
      <c r="AL98" s="95">
        <f t="shared" si="16"/>
        <v>8</v>
      </c>
      <c r="AM98" s="95">
        <f t="shared" si="16"/>
        <v>9</v>
      </c>
      <c r="AN98" s="95">
        <f t="shared" si="16"/>
        <v>9</v>
      </c>
      <c r="AO98" s="95">
        <f t="shared" si="16"/>
        <v>9</v>
      </c>
      <c r="AP98" s="95">
        <f t="shared" si="16"/>
        <v>9</v>
      </c>
      <c r="AQ98" s="95">
        <f t="shared" si="16"/>
        <v>10</v>
      </c>
      <c r="AR98" s="95">
        <f t="shared" si="16"/>
        <v>10</v>
      </c>
      <c r="AS98" s="95">
        <f t="shared" si="16"/>
        <v>10</v>
      </c>
      <c r="AT98" s="95">
        <f>AP98+1</f>
        <v>10</v>
      </c>
      <c r="AU98" s="95">
        <f t="shared" ref="AU98" si="17">AQ98+1</f>
        <v>11</v>
      </c>
      <c r="AV98" s="95">
        <f t="shared" ref="AV98" si="18">AR98+1</f>
        <v>11</v>
      </c>
      <c r="AW98" s="95">
        <f t="shared" ref="AW98" si="19">AS98+1</f>
        <v>11</v>
      </c>
      <c r="AX98" s="95">
        <f t="shared" ref="AX98" si="20">AT98+1</f>
        <v>11</v>
      </c>
      <c r="AY98" s="95">
        <f t="shared" ref="AY98" si="21">AU98+1</f>
        <v>12</v>
      </c>
      <c r="AZ98" s="95">
        <f t="shared" ref="AZ98" si="22">AV98+1</f>
        <v>12</v>
      </c>
    </row>
    <row r="99" spans="2:52" ht="20" hidden="1" customHeight="1" outlineLevel="1" x14ac:dyDescent="0.35">
      <c r="C99" s="42"/>
      <c r="E99" s="42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</row>
    <row r="100" spans="2:52" ht="20" hidden="1" customHeight="1" outlineLevel="1" x14ac:dyDescent="0.35">
      <c r="B100" s="57" t="s">
        <v>90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</row>
    <row r="101" spans="2:52" ht="20" hidden="1" customHeight="1" outlineLevel="1" x14ac:dyDescent="0.35">
      <c r="B101" s="11" t="s">
        <v>116</v>
      </c>
      <c r="C101" s="42"/>
      <c r="E101" s="42"/>
      <c r="F101" s="95">
        <f>(F102=0)*1</f>
        <v>0</v>
      </c>
      <c r="G101" s="95">
        <f t="shared" ref="G101:AT101" si="23">(G102=0)*1</f>
        <v>0</v>
      </c>
      <c r="H101" s="95">
        <f>(H102=0)*1</f>
        <v>0</v>
      </c>
      <c r="I101" s="95">
        <f>(I102=0)*1</f>
        <v>1</v>
      </c>
      <c r="J101" s="95">
        <f t="shared" si="23"/>
        <v>1</v>
      </c>
      <c r="K101" s="95">
        <f t="shared" si="23"/>
        <v>1</v>
      </c>
      <c r="L101" s="95">
        <f t="shared" si="23"/>
        <v>1</v>
      </c>
      <c r="M101" s="95">
        <f t="shared" si="23"/>
        <v>1</v>
      </c>
      <c r="N101" s="95">
        <f t="shared" si="23"/>
        <v>1</v>
      </c>
      <c r="O101" s="95">
        <f t="shared" si="23"/>
        <v>1</v>
      </c>
      <c r="P101" s="95">
        <f t="shared" si="23"/>
        <v>1</v>
      </c>
      <c r="Q101" s="95">
        <f t="shared" si="23"/>
        <v>1</v>
      </c>
      <c r="R101" s="95">
        <f t="shared" si="23"/>
        <v>1</v>
      </c>
      <c r="S101" s="95">
        <f t="shared" si="23"/>
        <v>1</v>
      </c>
      <c r="T101" s="95">
        <f t="shared" si="23"/>
        <v>1</v>
      </c>
      <c r="U101" s="95">
        <f t="shared" si="23"/>
        <v>1</v>
      </c>
      <c r="V101" s="95">
        <f t="shared" si="23"/>
        <v>1</v>
      </c>
      <c r="W101" s="95">
        <f t="shared" si="23"/>
        <v>1</v>
      </c>
      <c r="X101" s="95">
        <f t="shared" si="23"/>
        <v>1</v>
      </c>
      <c r="Y101" s="95">
        <f t="shared" si="23"/>
        <v>1</v>
      </c>
      <c r="Z101" s="95">
        <f t="shared" si="23"/>
        <v>1</v>
      </c>
      <c r="AA101" s="95">
        <f t="shared" si="23"/>
        <v>1</v>
      </c>
      <c r="AB101" s="95">
        <f t="shared" si="23"/>
        <v>1</v>
      </c>
      <c r="AC101" s="95">
        <f t="shared" si="23"/>
        <v>1</v>
      </c>
      <c r="AD101" s="95">
        <f t="shared" si="23"/>
        <v>1</v>
      </c>
      <c r="AE101" s="95">
        <f t="shared" si="23"/>
        <v>1</v>
      </c>
      <c r="AF101" s="95">
        <f t="shared" si="23"/>
        <v>1</v>
      </c>
      <c r="AG101" s="95">
        <f t="shared" si="23"/>
        <v>1</v>
      </c>
      <c r="AH101" s="95">
        <f t="shared" si="23"/>
        <v>1</v>
      </c>
      <c r="AI101" s="95">
        <f t="shared" si="23"/>
        <v>1</v>
      </c>
      <c r="AJ101" s="95">
        <f t="shared" si="23"/>
        <v>1</v>
      </c>
      <c r="AK101" s="95">
        <f t="shared" si="23"/>
        <v>1</v>
      </c>
      <c r="AL101" s="95">
        <f t="shared" si="23"/>
        <v>1</v>
      </c>
      <c r="AM101" s="95">
        <f t="shared" si="23"/>
        <v>1</v>
      </c>
      <c r="AN101" s="95">
        <f t="shared" si="23"/>
        <v>1</v>
      </c>
      <c r="AO101" s="95">
        <f t="shared" si="23"/>
        <v>1</v>
      </c>
      <c r="AP101" s="95">
        <f t="shared" si="23"/>
        <v>1</v>
      </c>
      <c r="AQ101" s="95">
        <f t="shared" si="23"/>
        <v>1</v>
      </c>
      <c r="AR101" s="95">
        <f t="shared" si="23"/>
        <v>1</v>
      </c>
      <c r="AS101" s="95">
        <f t="shared" si="23"/>
        <v>1</v>
      </c>
      <c r="AT101" s="95">
        <f t="shared" si="23"/>
        <v>1</v>
      </c>
      <c r="AU101" s="95">
        <f t="shared" ref="AU101" si="24">(AU102=0)*1</f>
        <v>1</v>
      </c>
      <c r="AV101" s="95">
        <f t="shared" ref="AV101" si="25">(AV102=0)*1</f>
        <v>1</v>
      </c>
      <c r="AW101" s="95">
        <f t="shared" ref="AW101" si="26">(AW102=0)*1</f>
        <v>1</v>
      </c>
      <c r="AX101" s="95">
        <f t="shared" ref="AX101" si="27">(AX102=0)*1</f>
        <v>1</v>
      </c>
      <c r="AY101" s="95">
        <f t="shared" ref="AY101" si="28">(AY102=0)*1</f>
        <v>1</v>
      </c>
      <c r="AZ101" s="95">
        <f t="shared" ref="AZ101" si="29">(AZ102=0)*1</f>
        <v>1</v>
      </c>
    </row>
    <row r="102" spans="2:52" ht="20" hidden="1" customHeight="1" outlineLevel="1" x14ac:dyDescent="0.35">
      <c r="B102" s="11" t="s">
        <v>114</v>
      </c>
      <c r="C102" s="42"/>
      <c r="E102" s="42"/>
      <c r="F102" s="95">
        <f t="shared" ref="F102:AZ102" si="30">IF(F$97&gt;=$C$21,0,1)</f>
        <v>1</v>
      </c>
      <c r="G102" s="95">
        <f t="shared" si="30"/>
        <v>1</v>
      </c>
      <c r="H102" s="95">
        <f t="shared" si="30"/>
        <v>1</v>
      </c>
      <c r="I102" s="95">
        <f t="shared" si="30"/>
        <v>0</v>
      </c>
      <c r="J102" s="95">
        <f t="shared" si="30"/>
        <v>0</v>
      </c>
      <c r="K102" s="95">
        <f t="shared" si="30"/>
        <v>0</v>
      </c>
      <c r="L102" s="95">
        <f t="shared" si="30"/>
        <v>0</v>
      </c>
      <c r="M102" s="95">
        <f t="shared" si="30"/>
        <v>0</v>
      </c>
      <c r="N102" s="95">
        <f t="shared" si="30"/>
        <v>0</v>
      </c>
      <c r="O102" s="95">
        <f t="shared" si="30"/>
        <v>0</v>
      </c>
      <c r="P102" s="95">
        <f t="shared" si="30"/>
        <v>0</v>
      </c>
      <c r="Q102" s="95">
        <f t="shared" si="30"/>
        <v>0</v>
      </c>
      <c r="R102" s="95">
        <f t="shared" si="30"/>
        <v>0</v>
      </c>
      <c r="S102" s="95">
        <f t="shared" si="30"/>
        <v>0</v>
      </c>
      <c r="T102" s="95">
        <f t="shared" si="30"/>
        <v>0</v>
      </c>
      <c r="U102" s="95">
        <f t="shared" si="30"/>
        <v>0</v>
      </c>
      <c r="V102" s="95">
        <f t="shared" si="30"/>
        <v>0</v>
      </c>
      <c r="W102" s="95">
        <f t="shared" si="30"/>
        <v>0</v>
      </c>
      <c r="X102" s="95">
        <f t="shared" si="30"/>
        <v>0</v>
      </c>
      <c r="Y102" s="95">
        <f t="shared" si="30"/>
        <v>0</v>
      </c>
      <c r="Z102" s="95">
        <f t="shared" si="30"/>
        <v>0</v>
      </c>
      <c r="AA102" s="95">
        <f t="shared" si="30"/>
        <v>0</v>
      </c>
      <c r="AB102" s="95">
        <f t="shared" si="30"/>
        <v>0</v>
      </c>
      <c r="AC102" s="95">
        <f t="shared" si="30"/>
        <v>0</v>
      </c>
      <c r="AD102" s="95">
        <f t="shared" si="30"/>
        <v>0</v>
      </c>
      <c r="AE102" s="95">
        <f t="shared" si="30"/>
        <v>0</v>
      </c>
      <c r="AF102" s="95">
        <f t="shared" si="30"/>
        <v>0</v>
      </c>
      <c r="AG102" s="95">
        <f t="shared" si="30"/>
        <v>0</v>
      </c>
      <c r="AH102" s="95">
        <f t="shared" si="30"/>
        <v>0</v>
      </c>
      <c r="AI102" s="95">
        <f t="shared" si="30"/>
        <v>0</v>
      </c>
      <c r="AJ102" s="95">
        <f t="shared" si="30"/>
        <v>0</v>
      </c>
      <c r="AK102" s="95">
        <f t="shared" si="30"/>
        <v>0</v>
      </c>
      <c r="AL102" s="95">
        <f t="shared" si="30"/>
        <v>0</v>
      </c>
      <c r="AM102" s="95">
        <f t="shared" si="30"/>
        <v>0</v>
      </c>
      <c r="AN102" s="95">
        <f t="shared" si="30"/>
        <v>0</v>
      </c>
      <c r="AO102" s="95">
        <f t="shared" si="30"/>
        <v>0</v>
      </c>
      <c r="AP102" s="95">
        <f t="shared" si="30"/>
        <v>0</v>
      </c>
      <c r="AQ102" s="95">
        <f t="shared" si="30"/>
        <v>0</v>
      </c>
      <c r="AR102" s="95">
        <f t="shared" si="30"/>
        <v>0</v>
      </c>
      <c r="AS102" s="95">
        <f t="shared" si="30"/>
        <v>0</v>
      </c>
      <c r="AT102" s="95">
        <f t="shared" si="30"/>
        <v>0</v>
      </c>
      <c r="AU102" s="95">
        <f t="shared" si="30"/>
        <v>0</v>
      </c>
      <c r="AV102" s="95">
        <f t="shared" si="30"/>
        <v>0</v>
      </c>
      <c r="AW102" s="95">
        <f t="shared" si="30"/>
        <v>0</v>
      </c>
      <c r="AX102" s="95">
        <f t="shared" si="30"/>
        <v>0</v>
      </c>
      <c r="AY102" s="95">
        <f t="shared" si="30"/>
        <v>0</v>
      </c>
      <c r="AZ102" s="95">
        <f t="shared" si="30"/>
        <v>0</v>
      </c>
    </row>
    <row r="103" spans="2:52" ht="20" hidden="1" customHeight="1" outlineLevel="1" x14ac:dyDescent="0.35">
      <c r="B103" s="11" t="s">
        <v>117</v>
      </c>
      <c r="C103" s="42"/>
      <c r="E103" s="42"/>
      <c r="F103" s="95">
        <f>IF(AND(YEAR(F97)&gt;YEAR($C$21),F96="3 кв."),1,0)</f>
        <v>0</v>
      </c>
      <c r="G103" s="95">
        <f t="shared" ref="G103:AZ103" si="31">IF(AND(YEAR(G97)&gt;YEAR($C$21),G96="3 кв."),1,0)</f>
        <v>0</v>
      </c>
      <c r="H103" s="95">
        <f t="shared" si="31"/>
        <v>0</v>
      </c>
      <c r="I103" s="95">
        <f t="shared" si="31"/>
        <v>0</v>
      </c>
      <c r="J103" s="95">
        <f t="shared" si="31"/>
        <v>0</v>
      </c>
      <c r="K103" s="95">
        <f t="shared" si="31"/>
        <v>0</v>
      </c>
      <c r="L103" s="95">
        <f t="shared" si="31"/>
        <v>0</v>
      </c>
      <c r="M103" s="95">
        <f t="shared" si="31"/>
        <v>1</v>
      </c>
      <c r="N103" s="95">
        <f>IF(AND(YEAR(N97)&gt;YEAR($C$21),N96="3 кв."),1,0)</f>
        <v>0</v>
      </c>
      <c r="O103" s="95">
        <f t="shared" si="31"/>
        <v>0</v>
      </c>
      <c r="P103" s="95">
        <f t="shared" si="31"/>
        <v>0</v>
      </c>
      <c r="Q103" s="95">
        <f t="shared" si="31"/>
        <v>1</v>
      </c>
      <c r="R103" s="95">
        <f t="shared" si="31"/>
        <v>0</v>
      </c>
      <c r="S103" s="95">
        <f t="shared" si="31"/>
        <v>0</v>
      </c>
      <c r="T103" s="95">
        <f t="shared" si="31"/>
        <v>0</v>
      </c>
      <c r="U103" s="95">
        <f t="shared" si="31"/>
        <v>1</v>
      </c>
      <c r="V103" s="95">
        <f t="shared" si="31"/>
        <v>0</v>
      </c>
      <c r="W103" s="95">
        <f t="shared" si="31"/>
        <v>0</v>
      </c>
      <c r="X103" s="95">
        <f t="shared" si="31"/>
        <v>0</v>
      </c>
      <c r="Y103" s="95">
        <f t="shared" si="31"/>
        <v>1</v>
      </c>
      <c r="Z103" s="95">
        <f t="shared" si="31"/>
        <v>0</v>
      </c>
      <c r="AA103" s="95">
        <f t="shared" si="31"/>
        <v>0</v>
      </c>
      <c r="AB103" s="95">
        <f t="shared" si="31"/>
        <v>0</v>
      </c>
      <c r="AC103" s="95">
        <f t="shared" si="31"/>
        <v>1</v>
      </c>
      <c r="AD103" s="95">
        <f t="shared" si="31"/>
        <v>0</v>
      </c>
      <c r="AE103" s="95">
        <f t="shared" si="31"/>
        <v>0</v>
      </c>
      <c r="AF103" s="95">
        <f t="shared" si="31"/>
        <v>0</v>
      </c>
      <c r="AG103" s="95">
        <f t="shared" si="31"/>
        <v>1</v>
      </c>
      <c r="AH103" s="95">
        <f t="shared" si="31"/>
        <v>0</v>
      </c>
      <c r="AI103" s="95">
        <f t="shared" si="31"/>
        <v>0</v>
      </c>
      <c r="AJ103" s="95">
        <f t="shared" si="31"/>
        <v>0</v>
      </c>
      <c r="AK103" s="95">
        <f t="shared" si="31"/>
        <v>1</v>
      </c>
      <c r="AL103" s="95">
        <f t="shared" si="31"/>
        <v>0</v>
      </c>
      <c r="AM103" s="95">
        <f t="shared" si="31"/>
        <v>0</v>
      </c>
      <c r="AN103" s="95">
        <f t="shared" si="31"/>
        <v>0</v>
      </c>
      <c r="AO103" s="95">
        <f t="shared" si="31"/>
        <v>1</v>
      </c>
      <c r="AP103" s="95">
        <f t="shared" si="31"/>
        <v>0</v>
      </c>
      <c r="AQ103" s="95">
        <f t="shared" si="31"/>
        <v>0</v>
      </c>
      <c r="AR103" s="95">
        <f t="shared" si="31"/>
        <v>0</v>
      </c>
      <c r="AS103" s="95">
        <f t="shared" si="31"/>
        <v>1</v>
      </c>
      <c r="AT103" s="95">
        <f t="shared" si="31"/>
        <v>0</v>
      </c>
      <c r="AU103" s="95">
        <f t="shared" si="31"/>
        <v>0</v>
      </c>
      <c r="AV103" s="95">
        <f t="shared" si="31"/>
        <v>0</v>
      </c>
      <c r="AW103" s="95">
        <f t="shared" si="31"/>
        <v>1</v>
      </c>
      <c r="AX103" s="95">
        <f t="shared" si="31"/>
        <v>0</v>
      </c>
      <c r="AY103" s="95">
        <f t="shared" si="31"/>
        <v>0</v>
      </c>
      <c r="AZ103" s="95">
        <f t="shared" si="31"/>
        <v>0</v>
      </c>
    </row>
    <row r="104" spans="2:52" ht="20" hidden="1" customHeight="1" outlineLevel="1" x14ac:dyDescent="0.35">
      <c r="B104" s="11" t="s">
        <v>118</v>
      </c>
      <c r="C104" s="42"/>
      <c r="E104" s="42"/>
      <c r="F104" s="124">
        <v>1</v>
      </c>
      <c r="G104" s="96">
        <f t="shared" ref="G104:AZ104" si="32">IF(G$103=1,C104*(1+$C$31),F104)</f>
        <v>1</v>
      </c>
      <c r="H104" s="96">
        <f t="shared" si="32"/>
        <v>1</v>
      </c>
      <c r="I104" s="96">
        <f t="shared" si="32"/>
        <v>1</v>
      </c>
      <c r="J104" s="96">
        <f t="shared" si="32"/>
        <v>1</v>
      </c>
      <c r="K104" s="96">
        <f t="shared" si="32"/>
        <v>1</v>
      </c>
      <c r="L104" s="96">
        <f t="shared" si="32"/>
        <v>1</v>
      </c>
      <c r="M104" s="96">
        <f t="shared" si="32"/>
        <v>1.1000000000000001</v>
      </c>
      <c r="N104" s="96">
        <f t="shared" si="32"/>
        <v>1.1000000000000001</v>
      </c>
      <c r="O104" s="96">
        <f t="shared" si="32"/>
        <v>1.1000000000000001</v>
      </c>
      <c r="P104" s="96">
        <f t="shared" si="32"/>
        <v>1.1000000000000001</v>
      </c>
      <c r="Q104" s="96">
        <f t="shared" si="32"/>
        <v>1.2100000000000002</v>
      </c>
      <c r="R104" s="96">
        <f t="shared" si="32"/>
        <v>1.2100000000000002</v>
      </c>
      <c r="S104" s="96">
        <f t="shared" si="32"/>
        <v>1.2100000000000002</v>
      </c>
      <c r="T104" s="96">
        <f t="shared" si="32"/>
        <v>1.2100000000000002</v>
      </c>
      <c r="U104" s="96">
        <f t="shared" si="32"/>
        <v>1.3310000000000004</v>
      </c>
      <c r="V104" s="96">
        <f t="shared" si="32"/>
        <v>1.3310000000000004</v>
      </c>
      <c r="W104" s="96">
        <f t="shared" si="32"/>
        <v>1.3310000000000004</v>
      </c>
      <c r="X104" s="96">
        <f t="shared" si="32"/>
        <v>1.3310000000000004</v>
      </c>
      <c r="Y104" s="96">
        <f t="shared" si="32"/>
        <v>1.4641000000000006</v>
      </c>
      <c r="Z104" s="96">
        <f t="shared" si="32"/>
        <v>1.4641000000000006</v>
      </c>
      <c r="AA104" s="96">
        <f t="shared" si="32"/>
        <v>1.4641000000000006</v>
      </c>
      <c r="AB104" s="96">
        <f t="shared" si="32"/>
        <v>1.4641000000000006</v>
      </c>
      <c r="AC104" s="96">
        <f t="shared" si="32"/>
        <v>1.6105100000000008</v>
      </c>
      <c r="AD104" s="96">
        <f t="shared" si="32"/>
        <v>1.6105100000000008</v>
      </c>
      <c r="AE104" s="96">
        <f t="shared" si="32"/>
        <v>1.6105100000000008</v>
      </c>
      <c r="AF104" s="96">
        <f t="shared" si="32"/>
        <v>1.6105100000000008</v>
      </c>
      <c r="AG104" s="96">
        <f t="shared" si="32"/>
        <v>1.7715610000000011</v>
      </c>
      <c r="AH104" s="96">
        <f t="shared" si="32"/>
        <v>1.7715610000000011</v>
      </c>
      <c r="AI104" s="96">
        <f t="shared" si="32"/>
        <v>1.7715610000000011</v>
      </c>
      <c r="AJ104" s="96">
        <f t="shared" si="32"/>
        <v>1.7715610000000011</v>
      </c>
      <c r="AK104" s="96">
        <f t="shared" si="32"/>
        <v>1.9487171000000014</v>
      </c>
      <c r="AL104" s="96">
        <f t="shared" si="32"/>
        <v>1.9487171000000014</v>
      </c>
      <c r="AM104" s="96">
        <f t="shared" si="32"/>
        <v>1.9487171000000014</v>
      </c>
      <c r="AN104" s="96">
        <f t="shared" si="32"/>
        <v>1.9487171000000014</v>
      </c>
      <c r="AO104" s="96">
        <f t="shared" si="32"/>
        <v>2.1435888100000016</v>
      </c>
      <c r="AP104" s="96">
        <f t="shared" si="32"/>
        <v>2.1435888100000016</v>
      </c>
      <c r="AQ104" s="96">
        <f t="shared" si="32"/>
        <v>2.1435888100000016</v>
      </c>
      <c r="AR104" s="96">
        <f t="shared" si="32"/>
        <v>2.1435888100000016</v>
      </c>
      <c r="AS104" s="96">
        <f t="shared" si="32"/>
        <v>2.3579476910000019</v>
      </c>
      <c r="AT104" s="96">
        <f t="shared" si="32"/>
        <v>2.3579476910000019</v>
      </c>
      <c r="AU104" s="96">
        <f t="shared" si="32"/>
        <v>2.3579476910000019</v>
      </c>
      <c r="AV104" s="96">
        <f t="shared" si="32"/>
        <v>2.3579476910000019</v>
      </c>
      <c r="AW104" s="96">
        <f t="shared" si="32"/>
        <v>2.5937424601000023</v>
      </c>
      <c r="AX104" s="96">
        <f t="shared" si="32"/>
        <v>2.5937424601000023</v>
      </c>
      <c r="AY104" s="96">
        <f t="shared" si="32"/>
        <v>2.5937424601000023</v>
      </c>
      <c r="AZ104" s="96">
        <f t="shared" si="32"/>
        <v>2.5937424601000023</v>
      </c>
    </row>
    <row r="105" spans="2:52" ht="20" hidden="1" customHeight="1" outlineLevel="1" x14ac:dyDescent="0.35">
      <c r="C105" s="42"/>
      <c r="E105" s="42"/>
      <c r="F105" s="42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</row>
    <row r="106" spans="2:52" ht="20" hidden="1" customHeight="1" outlineLevel="1" x14ac:dyDescent="0.35">
      <c r="B106" s="11" t="s">
        <v>249</v>
      </c>
      <c r="C106" s="23"/>
      <c r="E106" s="42"/>
      <c r="F106" s="125">
        <f>C26/(1+$C$70)</f>
        <v>57377.049180327871</v>
      </c>
      <c r="G106" s="122">
        <f>$F106*G$104</f>
        <v>57377.049180327871</v>
      </c>
      <c r="H106" s="122">
        <f>$F106*H$104</f>
        <v>57377.049180327871</v>
      </c>
      <c r="I106" s="122">
        <f t="shared" ref="I106:AU108" si="33">$F106*I$104</f>
        <v>57377.049180327871</v>
      </c>
      <c r="J106" s="122">
        <f>$F106*J$104</f>
        <v>57377.049180327871</v>
      </c>
      <c r="K106" s="122">
        <f t="shared" si="33"/>
        <v>57377.049180327871</v>
      </c>
      <c r="L106" s="122">
        <f>$F106*L$104</f>
        <v>57377.049180327871</v>
      </c>
      <c r="M106" s="122">
        <f>$F106*M$104</f>
        <v>63114.754098360667</v>
      </c>
      <c r="N106" s="122">
        <f t="shared" si="33"/>
        <v>63114.754098360667</v>
      </c>
      <c r="O106" s="122">
        <f t="shared" si="33"/>
        <v>63114.754098360667</v>
      </c>
      <c r="P106" s="122">
        <f t="shared" si="33"/>
        <v>63114.754098360667</v>
      </c>
      <c r="Q106" s="122">
        <f t="shared" si="33"/>
        <v>69426.229508196731</v>
      </c>
      <c r="R106" s="122">
        <f t="shared" si="33"/>
        <v>69426.229508196731</v>
      </c>
      <c r="S106" s="122">
        <f t="shared" si="33"/>
        <v>69426.229508196731</v>
      </c>
      <c r="T106" s="122">
        <f t="shared" si="33"/>
        <v>69426.229508196731</v>
      </c>
      <c r="U106" s="122">
        <f t="shared" si="33"/>
        <v>76368.852459016416</v>
      </c>
      <c r="V106" s="122">
        <f t="shared" si="33"/>
        <v>76368.852459016416</v>
      </c>
      <c r="W106" s="122">
        <f t="shared" si="33"/>
        <v>76368.852459016416</v>
      </c>
      <c r="X106" s="122">
        <f t="shared" si="33"/>
        <v>76368.852459016416</v>
      </c>
      <c r="Y106" s="122">
        <f t="shared" si="33"/>
        <v>84005.737704918065</v>
      </c>
      <c r="Z106" s="122">
        <f t="shared" si="33"/>
        <v>84005.737704918065</v>
      </c>
      <c r="AA106" s="122">
        <f t="shared" si="33"/>
        <v>84005.737704918065</v>
      </c>
      <c r="AB106" s="122">
        <f t="shared" si="33"/>
        <v>84005.737704918065</v>
      </c>
      <c r="AC106" s="122">
        <f t="shared" si="33"/>
        <v>92406.311475409879</v>
      </c>
      <c r="AD106" s="122">
        <f t="shared" si="33"/>
        <v>92406.311475409879</v>
      </c>
      <c r="AE106" s="122">
        <f t="shared" si="33"/>
        <v>92406.311475409879</v>
      </c>
      <c r="AF106" s="122">
        <f t="shared" si="33"/>
        <v>92406.311475409879</v>
      </c>
      <c r="AG106" s="122">
        <f t="shared" si="33"/>
        <v>101646.94262295088</v>
      </c>
      <c r="AH106" s="122">
        <f t="shared" si="33"/>
        <v>101646.94262295088</v>
      </c>
      <c r="AI106" s="122">
        <f t="shared" si="33"/>
        <v>101646.94262295088</v>
      </c>
      <c r="AJ106" s="122">
        <f t="shared" si="33"/>
        <v>101646.94262295088</v>
      </c>
      <c r="AK106" s="122">
        <f t="shared" si="33"/>
        <v>111811.63688524599</v>
      </c>
      <c r="AL106" s="122">
        <f t="shared" si="33"/>
        <v>111811.63688524599</v>
      </c>
      <c r="AM106" s="122">
        <f t="shared" si="33"/>
        <v>111811.63688524599</v>
      </c>
      <c r="AN106" s="122">
        <f t="shared" si="33"/>
        <v>111811.63688524599</v>
      </c>
      <c r="AO106" s="122">
        <f t="shared" si="33"/>
        <v>122992.80057377058</v>
      </c>
      <c r="AP106" s="122">
        <f t="shared" si="33"/>
        <v>122992.80057377058</v>
      </c>
      <c r="AQ106" s="122">
        <f t="shared" si="33"/>
        <v>122992.80057377058</v>
      </c>
      <c r="AR106" s="122">
        <f t="shared" si="33"/>
        <v>122992.80057377058</v>
      </c>
      <c r="AS106" s="122">
        <f t="shared" si="33"/>
        <v>135292.08063114766</v>
      </c>
      <c r="AT106" s="122">
        <f t="shared" si="33"/>
        <v>135292.08063114766</v>
      </c>
      <c r="AU106" s="122">
        <f t="shared" si="33"/>
        <v>135292.08063114766</v>
      </c>
      <c r="AV106" s="122">
        <f t="shared" ref="AU106:AZ108" si="34">$F106*AV$104</f>
        <v>135292.08063114766</v>
      </c>
      <c r="AW106" s="122">
        <f t="shared" si="34"/>
        <v>148821.28869426245</v>
      </c>
      <c r="AX106" s="122">
        <f t="shared" si="34"/>
        <v>148821.28869426245</v>
      </c>
      <c r="AY106" s="122">
        <f t="shared" si="34"/>
        <v>148821.28869426245</v>
      </c>
      <c r="AZ106" s="122">
        <f t="shared" si="34"/>
        <v>148821.28869426245</v>
      </c>
    </row>
    <row r="107" spans="2:52" ht="20" hidden="1" customHeight="1" outlineLevel="1" x14ac:dyDescent="0.35">
      <c r="B107" s="99" t="s">
        <v>250</v>
      </c>
      <c r="C107" s="23"/>
      <c r="E107" s="42"/>
      <c r="F107" s="125">
        <f>C27/(1+$C$70)</f>
        <v>6967.2131147540986</v>
      </c>
      <c r="G107" s="122">
        <f>$F107*G$104</f>
        <v>6967.2131147540986</v>
      </c>
      <c r="H107" s="122">
        <f t="shared" ref="H107:H108" si="35">$F107*H$104</f>
        <v>6967.2131147540986</v>
      </c>
      <c r="I107" s="122">
        <f t="shared" ref="I107:V107" si="36">$F107*I$104</f>
        <v>6967.2131147540986</v>
      </c>
      <c r="J107" s="122">
        <f t="shared" si="36"/>
        <v>6967.2131147540986</v>
      </c>
      <c r="K107" s="122">
        <f t="shared" si="36"/>
        <v>6967.2131147540986</v>
      </c>
      <c r="L107" s="122">
        <f>$F107*L$104</f>
        <v>6967.2131147540986</v>
      </c>
      <c r="M107" s="122">
        <f t="shared" si="36"/>
        <v>7663.934426229509</v>
      </c>
      <c r="N107" s="122">
        <f t="shared" si="36"/>
        <v>7663.934426229509</v>
      </c>
      <c r="O107" s="122">
        <f t="shared" si="36"/>
        <v>7663.934426229509</v>
      </c>
      <c r="P107" s="122">
        <f t="shared" si="36"/>
        <v>7663.934426229509</v>
      </c>
      <c r="Q107" s="122">
        <f t="shared" si="36"/>
        <v>8430.3278688524606</v>
      </c>
      <c r="R107" s="122">
        <f t="shared" si="36"/>
        <v>8430.3278688524606</v>
      </c>
      <c r="S107" s="122">
        <f t="shared" si="36"/>
        <v>8430.3278688524606</v>
      </c>
      <c r="T107" s="122">
        <f t="shared" si="36"/>
        <v>8430.3278688524606</v>
      </c>
      <c r="U107" s="122">
        <f t="shared" si="36"/>
        <v>9273.3606557377079</v>
      </c>
      <c r="V107" s="122">
        <f t="shared" si="36"/>
        <v>9273.3606557377079</v>
      </c>
      <c r="W107" s="122">
        <f t="shared" si="33"/>
        <v>9273.3606557377079</v>
      </c>
      <c r="X107" s="122">
        <f t="shared" si="33"/>
        <v>9273.3606557377079</v>
      </c>
      <c r="Y107" s="122">
        <f t="shared" si="33"/>
        <v>10200.69672131148</v>
      </c>
      <c r="Z107" s="122">
        <f t="shared" si="33"/>
        <v>10200.69672131148</v>
      </c>
      <c r="AA107" s="122">
        <f t="shared" si="33"/>
        <v>10200.69672131148</v>
      </c>
      <c r="AB107" s="122">
        <f t="shared" si="33"/>
        <v>10200.69672131148</v>
      </c>
      <c r="AC107" s="122">
        <f t="shared" si="33"/>
        <v>11220.766393442629</v>
      </c>
      <c r="AD107" s="122">
        <f t="shared" si="33"/>
        <v>11220.766393442629</v>
      </c>
      <c r="AE107" s="122">
        <f t="shared" si="33"/>
        <v>11220.766393442629</v>
      </c>
      <c r="AF107" s="122">
        <f t="shared" si="33"/>
        <v>11220.766393442629</v>
      </c>
      <c r="AG107" s="122">
        <f t="shared" si="33"/>
        <v>12342.843032786894</v>
      </c>
      <c r="AH107" s="122">
        <f t="shared" si="33"/>
        <v>12342.843032786894</v>
      </c>
      <c r="AI107" s="122">
        <f t="shared" si="33"/>
        <v>12342.843032786894</v>
      </c>
      <c r="AJ107" s="122">
        <f t="shared" si="33"/>
        <v>12342.843032786894</v>
      </c>
      <c r="AK107" s="122">
        <f t="shared" si="33"/>
        <v>13577.127336065583</v>
      </c>
      <c r="AL107" s="122">
        <f t="shared" si="33"/>
        <v>13577.127336065583</v>
      </c>
      <c r="AM107" s="122">
        <f t="shared" si="33"/>
        <v>13577.127336065583</v>
      </c>
      <c r="AN107" s="122">
        <f t="shared" si="33"/>
        <v>13577.127336065583</v>
      </c>
      <c r="AO107" s="122">
        <f t="shared" si="33"/>
        <v>14934.840069672142</v>
      </c>
      <c r="AP107" s="122">
        <f t="shared" si="33"/>
        <v>14934.840069672142</v>
      </c>
      <c r="AQ107" s="122">
        <f t="shared" si="33"/>
        <v>14934.840069672142</v>
      </c>
      <c r="AR107" s="122">
        <f t="shared" si="33"/>
        <v>14934.840069672142</v>
      </c>
      <c r="AS107" s="122">
        <f t="shared" si="33"/>
        <v>16428.324076639357</v>
      </c>
      <c r="AT107" s="122">
        <f t="shared" si="33"/>
        <v>16428.324076639357</v>
      </c>
      <c r="AU107" s="122">
        <f t="shared" si="34"/>
        <v>16428.324076639357</v>
      </c>
      <c r="AV107" s="122">
        <f t="shared" si="34"/>
        <v>16428.324076639357</v>
      </c>
      <c r="AW107" s="122">
        <f t="shared" si="34"/>
        <v>18071.156484303294</v>
      </c>
      <c r="AX107" s="122">
        <f t="shared" si="34"/>
        <v>18071.156484303294</v>
      </c>
      <c r="AY107" s="122">
        <f t="shared" si="34"/>
        <v>18071.156484303294</v>
      </c>
      <c r="AZ107" s="122">
        <f t="shared" si="34"/>
        <v>18071.156484303294</v>
      </c>
    </row>
    <row r="108" spans="2:52" ht="20" hidden="1" customHeight="1" outlineLevel="1" x14ac:dyDescent="0.35">
      <c r="B108" s="99" t="s">
        <v>251</v>
      </c>
      <c r="C108" s="23"/>
      <c r="E108" s="42"/>
      <c r="F108" s="125">
        <f>C28/(1+$C$70)</f>
        <v>21721.311475409835</v>
      </c>
      <c r="G108" s="122">
        <f>$F108*G$104</f>
        <v>21721.311475409835</v>
      </c>
      <c r="H108" s="122">
        <f t="shared" si="35"/>
        <v>21721.311475409835</v>
      </c>
      <c r="I108" s="122">
        <f t="shared" si="33"/>
        <v>21721.311475409835</v>
      </c>
      <c r="J108" s="122">
        <f t="shared" si="33"/>
        <v>21721.311475409835</v>
      </c>
      <c r="K108" s="122">
        <f t="shared" si="33"/>
        <v>21721.311475409835</v>
      </c>
      <c r="L108" s="122">
        <f t="shared" si="33"/>
        <v>21721.311475409835</v>
      </c>
      <c r="M108" s="122">
        <f t="shared" si="33"/>
        <v>23893.442622950821</v>
      </c>
      <c r="N108" s="122">
        <f t="shared" si="33"/>
        <v>23893.442622950821</v>
      </c>
      <c r="O108" s="122">
        <f t="shared" si="33"/>
        <v>23893.442622950821</v>
      </c>
      <c r="P108" s="122">
        <f t="shared" si="33"/>
        <v>23893.442622950821</v>
      </c>
      <c r="Q108" s="122">
        <f t="shared" si="33"/>
        <v>26282.786885245903</v>
      </c>
      <c r="R108" s="122">
        <f t="shared" si="33"/>
        <v>26282.786885245903</v>
      </c>
      <c r="S108" s="122">
        <f t="shared" si="33"/>
        <v>26282.786885245903</v>
      </c>
      <c r="T108" s="122">
        <f t="shared" si="33"/>
        <v>26282.786885245903</v>
      </c>
      <c r="U108" s="122">
        <f t="shared" si="33"/>
        <v>28911.065573770498</v>
      </c>
      <c r="V108" s="122">
        <f t="shared" si="33"/>
        <v>28911.065573770498</v>
      </c>
      <c r="W108" s="122">
        <f t="shared" si="33"/>
        <v>28911.065573770498</v>
      </c>
      <c r="X108" s="122">
        <f t="shared" si="33"/>
        <v>28911.065573770498</v>
      </c>
      <c r="Y108" s="122">
        <f t="shared" si="33"/>
        <v>31802.172131147552</v>
      </c>
      <c r="Z108" s="122">
        <f t="shared" si="33"/>
        <v>31802.172131147552</v>
      </c>
      <c r="AA108" s="122">
        <f t="shared" si="33"/>
        <v>31802.172131147552</v>
      </c>
      <c r="AB108" s="122">
        <f t="shared" si="33"/>
        <v>31802.172131147552</v>
      </c>
      <c r="AC108" s="122">
        <f t="shared" si="33"/>
        <v>34982.389344262308</v>
      </c>
      <c r="AD108" s="122">
        <f t="shared" si="33"/>
        <v>34982.389344262308</v>
      </c>
      <c r="AE108" s="122">
        <f t="shared" si="33"/>
        <v>34982.389344262308</v>
      </c>
      <c r="AF108" s="122">
        <f t="shared" si="33"/>
        <v>34982.389344262308</v>
      </c>
      <c r="AG108" s="122">
        <f t="shared" si="33"/>
        <v>38480.628278688542</v>
      </c>
      <c r="AH108" s="122">
        <f t="shared" si="33"/>
        <v>38480.628278688542</v>
      </c>
      <c r="AI108" s="122">
        <f t="shared" si="33"/>
        <v>38480.628278688542</v>
      </c>
      <c r="AJ108" s="122">
        <f t="shared" si="33"/>
        <v>38480.628278688542</v>
      </c>
      <c r="AK108" s="122">
        <f t="shared" si="33"/>
        <v>42328.69110655741</v>
      </c>
      <c r="AL108" s="122">
        <f t="shared" si="33"/>
        <v>42328.69110655741</v>
      </c>
      <c r="AM108" s="122">
        <f t="shared" si="33"/>
        <v>42328.69110655741</v>
      </c>
      <c r="AN108" s="122">
        <f t="shared" si="33"/>
        <v>42328.69110655741</v>
      </c>
      <c r="AO108" s="122">
        <f t="shared" si="33"/>
        <v>46561.560217213148</v>
      </c>
      <c r="AP108" s="122">
        <f t="shared" si="33"/>
        <v>46561.560217213148</v>
      </c>
      <c r="AQ108" s="122">
        <f t="shared" si="33"/>
        <v>46561.560217213148</v>
      </c>
      <c r="AR108" s="122">
        <f t="shared" si="33"/>
        <v>46561.560217213148</v>
      </c>
      <c r="AS108" s="122">
        <f t="shared" si="33"/>
        <v>51217.716238934467</v>
      </c>
      <c r="AT108" s="122">
        <f t="shared" si="33"/>
        <v>51217.716238934467</v>
      </c>
      <c r="AU108" s="122">
        <f t="shared" si="34"/>
        <v>51217.716238934467</v>
      </c>
      <c r="AV108" s="122">
        <f t="shared" si="34"/>
        <v>51217.716238934467</v>
      </c>
      <c r="AW108" s="122">
        <f t="shared" si="34"/>
        <v>56339.487862827918</v>
      </c>
      <c r="AX108" s="122">
        <f t="shared" si="34"/>
        <v>56339.487862827918</v>
      </c>
      <c r="AY108" s="122">
        <f t="shared" si="34"/>
        <v>56339.487862827918</v>
      </c>
      <c r="AZ108" s="122">
        <f t="shared" si="34"/>
        <v>56339.487862827918</v>
      </c>
    </row>
    <row r="109" spans="2:52" ht="20" hidden="1" customHeight="1" outlineLevel="1" x14ac:dyDescent="0.35">
      <c r="B109" s="52" t="s">
        <v>252</v>
      </c>
      <c r="C109" s="100"/>
      <c r="E109" s="42"/>
      <c r="F109" s="123">
        <f>SUM(F106:F108)</f>
        <v>86065.573770491814</v>
      </c>
      <c r="G109" s="123">
        <f>SUM(G106:G108)</f>
        <v>86065.573770491814</v>
      </c>
      <c r="H109" s="123">
        <f>SUM(H106:H108)</f>
        <v>86065.573770491814</v>
      </c>
      <c r="I109" s="123">
        <f>SUM(I106:I108)</f>
        <v>86065.573770491814</v>
      </c>
      <c r="J109" s="123">
        <f t="shared" ref="J109:AT109" si="37">SUM(J106:J108)</f>
        <v>86065.573770491814</v>
      </c>
      <c r="K109" s="123">
        <f t="shared" si="37"/>
        <v>86065.573770491814</v>
      </c>
      <c r="L109" s="123">
        <f>SUM(L106:L108)</f>
        <v>86065.573770491814</v>
      </c>
      <c r="M109" s="123">
        <f t="shared" si="37"/>
        <v>94672.131147541004</v>
      </c>
      <c r="N109" s="123">
        <f t="shared" si="37"/>
        <v>94672.131147541004</v>
      </c>
      <c r="O109" s="123">
        <f t="shared" si="37"/>
        <v>94672.131147541004</v>
      </c>
      <c r="P109" s="123">
        <f t="shared" si="37"/>
        <v>94672.131147541004</v>
      </c>
      <c r="Q109" s="123">
        <f t="shared" si="37"/>
        <v>104139.3442622951</v>
      </c>
      <c r="R109" s="123">
        <f t="shared" si="37"/>
        <v>104139.3442622951</v>
      </c>
      <c r="S109" s="123">
        <f t="shared" si="37"/>
        <v>104139.3442622951</v>
      </c>
      <c r="T109" s="123">
        <f t="shared" si="37"/>
        <v>104139.3442622951</v>
      </c>
      <c r="U109" s="123">
        <f t="shared" si="37"/>
        <v>114553.27868852462</v>
      </c>
      <c r="V109" s="123">
        <f t="shared" si="37"/>
        <v>114553.27868852462</v>
      </c>
      <c r="W109" s="123">
        <f t="shared" si="37"/>
        <v>114553.27868852462</v>
      </c>
      <c r="X109" s="123">
        <f t="shared" si="37"/>
        <v>114553.27868852462</v>
      </c>
      <c r="Y109" s="123">
        <f t="shared" si="37"/>
        <v>126008.6065573771</v>
      </c>
      <c r="Z109" s="123">
        <f t="shared" si="37"/>
        <v>126008.6065573771</v>
      </c>
      <c r="AA109" s="123">
        <f t="shared" si="37"/>
        <v>126008.6065573771</v>
      </c>
      <c r="AB109" s="123">
        <f t="shared" si="37"/>
        <v>126008.6065573771</v>
      </c>
      <c r="AC109" s="123">
        <f t="shared" si="37"/>
        <v>138609.46721311481</v>
      </c>
      <c r="AD109" s="123">
        <f t="shared" si="37"/>
        <v>138609.46721311481</v>
      </c>
      <c r="AE109" s="123">
        <f t="shared" si="37"/>
        <v>138609.46721311481</v>
      </c>
      <c r="AF109" s="123">
        <f t="shared" si="37"/>
        <v>138609.46721311481</v>
      </c>
      <c r="AG109" s="123">
        <f t="shared" si="37"/>
        <v>152470.41393442632</v>
      </c>
      <c r="AH109" s="123">
        <f t="shared" si="37"/>
        <v>152470.41393442632</v>
      </c>
      <c r="AI109" s="123">
        <f t="shared" si="37"/>
        <v>152470.41393442632</v>
      </c>
      <c r="AJ109" s="123">
        <f t="shared" si="37"/>
        <v>152470.41393442632</v>
      </c>
      <c r="AK109" s="123">
        <f t="shared" si="37"/>
        <v>167717.45532786899</v>
      </c>
      <c r="AL109" s="123">
        <f t="shared" si="37"/>
        <v>167717.45532786899</v>
      </c>
      <c r="AM109" s="123">
        <f t="shared" si="37"/>
        <v>167717.45532786899</v>
      </c>
      <c r="AN109" s="123">
        <f t="shared" si="37"/>
        <v>167717.45532786899</v>
      </c>
      <c r="AO109" s="123">
        <f t="shared" si="37"/>
        <v>184489.20086065587</v>
      </c>
      <c r="AP109" s="123">
        <f t="shared" si="37"/>
        <v>184489.20086065587</v>
      </c>
      <c r="AQ109" s="123">
        <f t="shared" si="37"/>
        <v>184489.20086065587</v>
      </c>
      <c r="AR109" s="123">
        <f t="shared" si="37"/>
        <v>184489.20086065587</v>
      </c>
      <c r="AS109" s="123">
        <f t="shared" si="37"/>
        <v>202938.12094672149</v>
      </c>
      <c r="AT109" s="123">
        <f t="shared" si="37"/>
        <v>202938.12094672149</v>
      </c>
      <c r="AU109" s="123">
        <f t="shared" ref="AU109:AZ109" si="38">SUM(AU106:AU108)</f>
        <v>202938.12094672149</v>
      </c>
      <c r="AV109" s="123">
        <f t="shared" si="38"/>
        <v>202938.12094672149</v>
      </c>
      <c r="AW109" s="123">
        <f t="shared" si="38"/>
        <v>223231.93304139367</v>
      </c>
      <c r="AX109" s="123">
        <f t="shared" si="38"/>
        <v>223231.93304139367</v>
      </c>
      <c r="AY109" s="123">
        <f t="shared" si="38"/>
        <v>223231.93304139367</v>
      </c>
      <c r="AZ109" s="123">
        <f t="shared" si="38"/>
        <v>223231.93304139367</v>
      </c>
    </row>
    <row r="110" spans="2:52" ht="20" hidden="1" customHeight="1" outlineLevel="1" x14ac:dyDescent="0.35">
      <c r="B110" s="52"/>
      <c r="C110" s="100"/>
      <c r="E110" s="42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</row>
    <row r="111" spans="2:52" ht="20" hidden="1" customHeight="1" outlineLevel="1" x14ac:dyDescent="0.35">
      <c r="B111" s="99"/>
      <c r="C111" s="100"/>
      <c r="E111" s="4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</row>
    <row r="112" spans="2:52" ht="20" hidden="1" customHeight="1" outlineLevel="1" x14ac:dyDescent="0.35">
      <c r="B112" s="57" t="s">
        <v>123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</row>
    <row r="113" spans="2:84" ht="20" hidden="1" customHeight="1" outlineLevel="1" x14ac:dyDescent="0.35">
      <c r="B113" s="11" t="s">
        <v>126</v>
      </c>
      <c r="C113" s="100"/>
      <c r="E113" s="42"/>
      <c r="F113" s="23">
        <f t="shared" ref="F113:I113" si="39">(F115=1)*(G115=0)</f>
        <v>0</v>
      </c>
      <c r="G113" s="23">
        <f t="shared" si="39"/>
        <v>0</v>
      </c>
      <c r="H113" s="23">
        <f t="shared" si="39"/>
        <v>0</v>
      </c>
      <c r="I113" s="23">
        <f t="shared" si="39"/>
        <v>0</v>
      </c>
      <c r="J113" s="23">
        <f>(J115=1)*(K115=0)</f>
        <v>1</v>
      </c>
      <c r="K113" s="23">
        <f>(K115=1)*(L115=0)</f>
        <v>0</v>
      </c>
      <c r="L113" s="23">
        <f t="shared" ref="L113:AZ113" si="40">(L115=1)*(M115=0)</f>
        <v>0</v>
      </c>
      <c r="M113" s="23">
        <f t="shared" si="40"/>
        <v>0</v>
      </c>
      <c r="N113" s="23">
        <f t="shared" si="40"/>
        <v>0</v>
      </c>
      <c r="O113" s="23">
        <f t="shared" si="40"/>
        <v>0</v>
      </c>
      <c r="P113" s="23">
        <f t="shared" si="40"/>
        <v>0</v>
      </c>
      <c r="Q113" s="23">
        <f t="shared" si="40"/>
        <v>0</v>
      </c>
      <c r="R113" s="23">
        <f t="shared" si="40"/>
        <v>0</v>
      </c>
      <c r="S113" s="23">
        <f t="shared" si="40"/>
        <v>0</v>
      </c>
      <c r="T113" s="23">
        <f t="shared" si="40"/>
        <v>0</v>
      </c>
      <c r="U113" s="23">
        <f t="shared" si="40"/>
        <v>0</v>
      </c>
      <c r="V113" s="23">
        <f t="shared" si="40"/>
        <v>0</v>
      </c>
      <c r="W113" s="23">
        <f t="shared" si="40"/>
        <v>0</v>
      </c>
      <c r="X113" s="23">
        <f t="shared" si="40"/>
        <v>0</v>
      </c>
      <c r="Y113" s="23">
        <f t="shared" si="40"/>
        <v>0</v>
      </c>
      <c r="Z113" s="23">
        <f t="shared" si="40"/>
        <v>0</v>
      </c>
      <c r="AA113" s="23">
        <f t="shared" si="40"/>
        <v>0</v>
      </c>
      <c r="AB113" s="23">
        <f t="shared" si="40"/>
        <v>0</v>
      </c>
      <c r="AC113" s="23">
        <f t="shared" si="40"/>
        <v>0</v>
      </c>
      <c r="AD113" s="23">
        <f t="shared" si="40"/>
        <v>0</v>
      </c>
      <c r="AE113" s="23">
        <f t="shared" si="40"/>
        <v>0</v>
      </c>
      <c r="AF113" s="23">
        <f t="shared" si="40"/>
        <v>0</v>
      </c>
      <c r="AG113" s="23">
        <f t="shared" si="40"/>
        <v>0</v>
      </c>
      <c r="AH113" s="23">
        <f t="shared" si="40"/>
        <v>0</v>
      </c>
      <c r="AI113" s="23">
        <f t="shared" si="40"/>
        <v>0</v>
      </c>
      <c r="AJ113" s="23">
        <f t="shared" si="40"/>
        <v>0</v>
      </c>
      <c r="AK113" s="23">
        <f t="shared" si="40"/>
        <v>0</v>
      </c>
      <c r="AL113" s="23">
        <f t="shared" si="40"/>
        <v>0</v>
      </c>
      <c r="AM113" s="23">
        <f t="shared" si="40"/>
        <v>0</v>
      </c>
      <c r="AN113" s="23">
        <f t="shared" si="40"/>
        <v>0</v>
      </c>
      <c r="AO113" s="23">
        <f t="shared" si="40"/>
        <v>0</v>
      </c>
      <c r="AP113" s="23">
        <f t="shared" si="40"/>
        <v>0</v>
      </c>
      <c r="AQ113" s="23">
        <f t="shared" si="40"/>
        <v>0</v>
      </c>
      <c r="AR113" s="23">
        <f t="shared" si="40"/>
        <v>0</v>
      </c>
      <c r="AS113" s="23">
        <f t="shared" si="40"/>
        <v>0</v>
      </c>
      <c r="AT113" s="23">
        <f t="shared" si="40"/>
        <v>0</v>
      </c>
      <c r="AU113" s="23">
        <f t="shared" si="40"/>
        <v>0</v>
      </c>
      <c r="AV113" s="23">
        <f t="shared" si="40"/>
        <v>0</v>
      </c>
      <c r="AW113" s="23">
        <f t="shared" si="40"/>
        <v>0</v>
      </c>
      <c r="AX113" s="23">
        <f t="shared" si="40"/>
        <v>0</v>
      </c>
      <c r="AY113" s="23">
        <f t="shared" si="40"/>
        <v>0</v>
      </c>
      <c r="AZ113" s="23">
        <f t="shared" si="40"/>
        <v>0</v>
      </c>
    </row>
    <row r="114" spans="2:84" ht="20" hidden="1" customHeight="1" outlineLevel="1" x14ac:dyDescent="0.35">
      <c r="B114" s="11" t="s">
        <v>127</v>
      </c>
      <c r="C114" s="100"/>
      <c r="E114" s="42"/>
      <c r="F114" s="23">
        <f t="shared" ref="F114:AZ114" si="41">IF(MONTH(F97)=3,1,0)</f>
        <v>0</v>
      </c>
      <c r="G114" s="23">
        <f t="shared" si="41"/>
        <v>1</v>
      </c>
      <c r="H114" s="23">
        <f t="shared" si="41"/>
        <v>0</v>
      </c>
      <c r="I114" s="23">
        <f t="shared" si="41"/>
        <v>0</v>
      </c>
      <c r="J114" s="23">
        <f t="shared" si="41"/>
        <v>0</v>
      </c>
      <c r="K114" s="23">
        <f t="shared" si="41"/>
        <v>1</v>
      </c>
      <c r="L114" s="23">
        <f t="shared" si="41"/>
        <v>0</v>
      </c>
      <c r="M114" s="23">
        <f t="shared" si="41"/>
        <v>0</v>
      </c>
      <c r="N114" s="23">
        <f t="shared" si="41"/>
        <v>0</v>
      </c>
      <c r="O114" s="23">
        <f t="shared" si="41"/>
        <v>1</v>
      </c>
      <c r="P114" s="23">
        <f t="shared" si="41"/>
        <v>0</v>
      </c>
      <c r="Q114" s="23">
        <f t="shared" si="41"/>
        <v>0</v>
      </c>
      <c r="R114" s="23">
        <f t="shared" si="41"/>
        <v>0</v>
      </c>
      <c r="S114" s="23">
        <f t="shared" si="41"/>
        <v>1</v>
      </c>
      <c r="T114" s="23">
        <f t="shared" si="41"/>
        <v>0</v>
      </c>
      <c r="U114" s="23">
        <f t="shared" si="41"/>
        <v>0</v>
      </c>
      <c r="V114" s="23">
        <f t="shared" si="41"/>
        <v>0</v>
      </c>
      <c r="W114" s="23">
        <f t="shared" si="41"/>
        <v>1</v>
      </c>
      <c r="X114" s="23">
        <f t="shared" si="41"/>
        <v>0</v>
      </c>
      <c r="Y114" s="23">
        <f t="shared" si="41"/>
        <v>0</v>
      </c>
      <c r="Z114" s="23">
        <f t="shared" si="41"/>
        <v>0</v>
      </c>
      <c r="AA114" s="23">
        <f t="shared" si="41"/>
        <v>1</v>
      </c>
      <c r="AB114" s="23">
        <f t="shared" si="41"/>
        <v>0</v>
      </c>
      <c r="AC114" s="23">
        <f t="shared" si="41"/>
        <v>0</v>
      </c>
      <c r="AD114" s="23">
        <f t="shared" si="41"/>
        <v>0</v>
      </c>
      <c r="AE114" s="23">
        <f t="shared" si="41"/>
        <v>1</v>
      </c>
      <c r="AF114" s="23">
        <f t="shared" si="41"/>
        <v>0</v>
      </c>
      <c r="AG114" s="23">
        <f t="shared" si="41"/>
        <v>0</v>
      </c>
      <c r="AH114" s="23">
        <f t="shared" si="41"/>
        <v>0</v>
      </c>
      <c r="AI114" s="23">
        <f t="shared" si="41"/>
        <v>1</v>
      </c>
      <c r="AJ114" s="23">
        <f t="shared" si="41"/>
        <v>0</v>
      </c>
      <c r="AK114" s="23">
        <f t="shared" si="41"/>
        <v>0</v>
      </c>
      <c r="AL114" s="23">
        <f t="shared" si="41"/>
        <v>0</v>
      </c>
      <c r="AM114" s="23">
        <f t="shared" si="41"/>
        <v>1</v>
      </c>
      <c r="AN114" s="23">
        <f t="shared" si="41"/>
        <v>0</v>
      </c>
      <c r="AO114" s="23">
        <f t="shared" si="41"/>
        <v>0</v>
      </c>
      <c r="AP114" s="23">
        <f t="shared" si="41"/>
        <v>0</v>
      </c>
      <c r="AQ114" s="23">
        <f t="shared" si="41"/>
        <v>1</v>
      </c>
      <c r="AR114" s="23">
        <f t="shared" si="41"/>
        <v>0</v>
      </c>
      <c r="AS114" s="23">
        <f t="shared" si="41"/>
        <v>0</v>
      </c>
      <c r="AT114" s="23">
        <f t="shared" si="41"/>
        <v>0</v>
      </c>
      <c r="AU114" s="23">
        <f t="shared" si="41"/>
        <v>1</v>
      </c>
      <c r="AV114" s="23">
        <f t="shared" si="41"/>
        <v>0</v>
      </c>
      <c r="AW114" s="23">
        <f t="shared" si="41"/>
        <v>0</v>
      </c>
      <c r="AX114" s="23">
        <f t="shared" si="41"/>
        <v>0</v>
      </c>
      <c r="AY114" s="23">
        <f t="shared" si="41"/>
        <v>1</v>
      </c>
      <c r="AZ114" s="23">
        <f t="shared" si="41"/>
        <v>0</v>
      </c>
    </row>
    <row r="115" spans="2:84" ht="20" hidden="1" customHeight="1" outlineLevel="1" x14ac:dyDescent="0.35">
      <c r="B115" s="11" t="s">
        <v>182</v>
      </c>
      <c r="C115" s="100"/>
      <c r="E115" s="42"/>
      <c r="F115" s="23">
        <f t="shared" ref="F115:AZ115" si="42">(F97&lt;$C$62)*1+(E97&lt;$C$62)*(F97&gt;=$C$62)</f>
        <v>1</v>
      </c>
      <c r="G115" s="23">
        <f t="shared" si="42"/>
        <v>1</v>
      </c>
      <c r="H115" s="23">
        <f t="shared" si="42"/>
        <v>1</v>
      </c>
      <c r="I115" s="23">
        <f t="shared" si="42"/>
        <v>1</v>
      </c>
      <c r="J115" s="23">
        <f t="shared" si="42"/>
        <v>1</v>
      </c>
      <c r="K115" s="23">
        <f t="shared" si="42"/>
        <v>0</v>
      </c>
      <c r="L115" s="23">
        <f t="shared" si="42"/>
        <v>0</v>
      </c>
      <c r="M115" s="23">
        <f t="shared" si="42"/>
        <v>0</v>
      </c>
      <c r="N115" s="23">
        <f t="shared" si="42"/>
        <v>0</v>
      </c>
      <c r="O115" s="23">
        <f t="shared" si="42"/>
        <v>0</v>
      </c>
      <c r="P115" s="23">
        <f t="shared" si="42"/>
        <v>0</v>
      </c>
      <c r="Q115" s="23">
        <f t="shared" si="42"/>
        <v>0</v>
      </c>
      <c r="R115" s="23">
        <f t="shared" si="42"/>
        <v>0</v>
      </c>
      <c r="S115" s="23">
        <f t="shared" si="42"/>
        <v>0</v>
      </c>
      <c r="T115" s="23">
        <f t="shared" si="42"/>
        <v>0</v>
      </c>
      <c r="U115" s="23">
        <f t="shared" si="42"/>
        <v>0</v>
      </c>
      <c r="V115" s="23">
        <f t="shared" si="42"/>
        <v>0</v>
      </c>
      <c r="W115" s="23">
        <f t="shared" si="42"/>
        <v>0</v>
      </c>
      <c r="X115" s="23">
        <f t="shared" si="42"/>
        <v>0</v>
      </c>
      <c r="Y115" s="23">
        <f t="shared" si="42"/>
        <v>0</v>
      </c>
      <c r="Z115" s="23">
        <f t="shared" si="42"/>
        <v>0</v>
      </c>
      <c r="AA115" s="23">
        <f t="shared" si="42"/>
        <v>0</v>
      </c>
      <c r="AB115" s="23">
        <f t="shared" si="42"/>
        <v>0</v>
      </c>
      <c r="AC115" s="23">
        <f t="shared" si="42"/>
        <v>0</v>
      </c>
      <c r="AD115" s="23">
        <f t="shared" si="42"/>
        <v>0</v>
      </c>
      <c r="AE115" s="23">
        <f t="shared" si="42"/>
        <v>0</v>
      </c>
      <c r="AF115" s="23">
        <f t="shared" si="42"/>
        <v>0</v>
      </c>
      <c r="AG115" s="23">
        <f t="shared" si="42"/>
        <v>0</v>
      </c>
      <c r="AH115" s="23">
        <f t="shared" si="42"/>
        <v>0</v>
      </c>
      <c r="AI115" s="23">
        <f t="shared" si="42"/>
        <v>0</v>
      </c>
      <c r="AJ115" s="23">
        <f t="shared" si="42"/>
        <v>0</v>
      </c>
      <c r="AK115" s="23">
        <f t="shared" si="42"/>
        <v>0</v>
      </c>
      <c r="AL115" s="23">
        <f t="shared" si="42"/>
        <v>0</v>
      </c>
      <c r="AM115" s="23">
        <f t="shared" si="42"/>
        <v>0</v>
      </c>
      <c r="AN115" s="23">
        <f t="shared" si="42"/>
        <v>0</v>
      </c>
      <c r="AO115" s="23">
        <f t="shared" si="42"/>
        <v>0</v>
      </c>
      <c r="AP115" s="23">
        <f t="shared" si="42"/>
        <v>0</v>
      </c>
      <c r="AQ115" s="23">
        <f t="shared" si="42"/>
        <v>0</v>
      </c>
      <c r="AR115" s="23">
        <f t="shared" si="42"/>
        <v>0</v>
      </c>
      <c r="AS115" s="23">
        <f t="shared" si="42"/>
        <v>0</v>
      </c>
      <c r="AT115" s="23">
        <f t="shared" si="42"/>
        <v>0</v>
      </c>
      <c r="AU115" s="23">
        <f t="shared" si="42"/>
        <v>0</v>
      </c>
      <c r="AV115" s="23">
        <f t="shared" si="42"/>
        <v>0</v>
      </c>
      <c r="AW115" s="23">
        <f t="shared" si="42"/>
        <v>0</v>
      </c>
      <c r="AX115" s="23">
        <f t="shared" si="42"/>
        <v>0</v>
      </c>
      <c r="AY115" s="23">
        <f t="shared" si="42"/>
        <v>0</v>
      </c>
      <c r="AZ115" s="23">
        <f t="shared" si="42"/>
        <v>0</v>
      </c>
    </row>
    <row r="116" spans="2:84" ht="20" hidden="1" customHeight="1" outlineLevel="1" x14ac:dyDescent="0.35">
      <c r="B116" s="11" t="s">
        <v>183</v>
      </c>
      <c r="C116" s="100"/>
      <c r="E116" s="42"/>
      <c r="F116" s="162">
        <f>$C$60</f>
        <v>0.3</v>
      </c>
      <c r="G116" s="161">
        <f>YEARFRAC(F97,G97)*(100%-$F$116)*G115</f>
        <v>0.17499999999999999</v>
      </c>
      <c r="H116" s="161">
        <f>YEARFRAC(G97,H97)*(100%-$F$116)*H115</f>
        <v>0.17499999999999999</v>
      </c>
      <c r="I116" s="161">
        <f>YEARFRAC(H97,I97)*(100%-$F$116)*I115</f>
        <v>0.17499999999999999</v>
      </c>
      <c r="J116" s="161">
        <f>YEARFRAC(I97,J97)*(100%-$F$116)*J115</f>
        <v>0.17499999999999999</v>
      </c>
      <c r="K116" s="161">
        <f>YEARFRAC(J97,C62)*(100%-$F$116)*K115</f>
        <v>0</v>
      </c>
      <c r="L116" s="161">
        <f t="shared" ref="L116:AZ116" si="43">YEARFRAC(K97,L97)*(100%-$F$116)*L115</f>
        <v>0</v>
      </c>
      <c r="M116" s="161">
        <f t="shared" si="43"/>
        <v>0</v>
      </c>
      <c r="N116" s="161">
        <f t="shared" si="43"/>
        <v>0</v>
      </c>
      <c r="O116" s="161">
        <f t="shared" si="43"/>
        <v>0</v>
      </c>
      <c r="P116" s="161">
        <f t="shared" si="43"/>
        <v>0</v>
      </c>
      <c r="Q116" s="161">
        <f t="shared" si="43"/>
        <v>0</v>
      </c>
      <c r="R116" s="161">
        <f t="shared" si="43"/>
        <v>0</v>
      </c>
      <c r="S116" s="161">
        <f t="shared" si="43"/>
        <v>0</v>
      </c>
      <c r="T116" s="161">
        <f t="shared" si="43"/>
        <v>0</v>
      </c>
      <c r="U116" s="161">
        <f t="shared" si="43"/>
        <v>0</v>
      </c>
      <c r="V116" s="161">
        <f t="shared" si="43"/>
        <v>0</v>
      </c>
      <c r="W116" s="161">
        <f t="shared" si="43"/>
        <v>0</v>
      </c>
      <c r="X116" s="161">
        <f t="shared" si="43"/>
        <v>0</v>
      </c>
      <c r="Y116" s="161">
        <f t="shared" si="43"/>
        <v>0</v>
      </c>
      <c r="Z116" s="161">
        <f t="shared" si="43"/>
        <v>0</v>
      </c>
      <c r="AA116" s="161">
        <f t="shared" si="43"/>
        <v>0</v>
      </c>
      <c r="AB116" s="161">
        <f t="shared" si="43"/>
        <v>0</v>
      </c>
      <c r="AC116" s="161">
        <f t="shared" si="43"/>
        <v>0</v>
      </c>
      <c r="AD116" s="161">
        <f t="shared" si="43"/>
        <v>0</v>
      </c>
      <c r="AE116" s="161">
        <f t="shared" si="43"/>
        <v>0</v>
      </c>
      <c r="AF116" s="161">
        <f t="shared" si="43"/>
        <v>0</v>
      </c>
      <c r="AG116" s="161">
        <f t="shared" si="43"/>
        <v>0</v>
      </c>
      <c r="AH116" s="161">
        <f t="shared" si="43"/>
        <v>0</v>
      </c>
      <c r="AI116" s="161">
        <f t="shared" si="43"/>
        <v>0</v>
      </c>
      <c r="AJ116" s="161">
        <f t="shared" si="43"/>
        <v>0</v>
      </c>
      <c r="AK116" s="161">
        <f t="shared" si="43"/>
        <v>0</v>
      </c>
      <c r="AL116" s="161">
        <f t="shared" si="43"/>
        <v>0</v>
      </c>
      <c r="AM116" s="161">
        <f t="shared" si="43"/>
        <v>0</v>
      </c>
      <c r="AN116" s="161">
        <f t="shared" si="43"/>
        <v>0</v>
      </c>
      <c r="AO116" s="161">
        <f t="shared" si="43"/>
        <v>0</v>
      </c>
      <c r="AP116" s="161">
        <f t="shared" si="43"/>
        <v>0</v>
      </c>
      <c r="AQ116" s="161">
        <f t="shared" si="43"/>
        <v>0</v>
      </c>
      <c r="AR116" s="161">
        <f t="shared" si="43"/>
        <v>0</v>
      </c>
      <c r="AS116" s="161">
        <f t="shared" si="43"/>
        <v>0</v>
      </c>
      <c r="AT116" s="161">
        <f t="shared" si="43"/>
        <v>0</v>
      </c>
      <c r="AU116" s="161">
        <f t="shared" si="43"/>
        <v>0</v>
      </c>
      <c r="AV116" s="161">
        <f t="shared" si="43"/>
        <v>0</v>
      </c>
      <c r="AW116" s="161">
        <f t="shared" si="43"/>
        <v>0</v>
      </c>
      <c r="AX116" s="161">
        <f t="shared" si="43"/>
        <v>0</v>
      </c>
      <c r="AY116" s="161">
        <f t="shared" si="43"/>
        <v>0</v>
      </c>
      <c r="AZ116" s="161">
        <f t="shared" si="43"/>
        <v>0</v>
      </c>
    </row>
    <row r="117" spans="2:84" ht="20" hidden="1" customHeight="1" outlineLevel="1" x14ac:dyDescent="0.35">
      <c r="C117" s="100"/>
      <c r="E117" s="42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</row>
    <row r="118" spans="2:84" ht="20" hidden="1" customHeight="1" outlineLevel="1" x14ac:dyDescent="0.35">
      <c r="B118" s="11" t="s">
        <v>188</v>
      </c>
      <c r="C118" s="100"/>
      <c r="F118" s="148">
        <v>1</v>
      </c>
      <c r="G118" s="148">
        <v>2</v>
      </c>
      <c r="H118" s="148">
        <v>3</v>
      </c>
      <c r="I118" s="148">
        <v>4</v>
      </c>
      <c r="J118" s="148">
        <v>4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  <c r="X118" s="148">
        <v>0</v>
      </c>
      <c r="Y118" s="148">
        <v>0</v>
      </c>
      <c r="Z118" s="148">
        <v>0</v>
      </c>
      <c r="AA118" s="148">
        <v>0</v>
      </c>
      <c r="AB118" s="148">
        <v>0</v>
      </c>
      <c r="AC118" s="148">
        <v>0</v>
      </c>
      <c r="AD118" s="148">
        <v>0</v>
      </c>
      <c r="AE118" s="148">
        <v>0</v>
      </c>
      <c r="AF118" s="148">
        <v>0</v>
      </c>
      <c r="AG118" s="148">
        <v>0</v>
      </c>
      <c r="AH118" s="148">
        <v>0</v>
      </c>
      <c r="AI118" s="148">
        <v>0</v>
      </c>
      <c r="AJ118" s="148">
        <v>0</v>
      </c>
      <c r="AK118" s="148">
        <v>0</v>
      </c>
      <c r="AL118" s="148">
        <v>0</v>
      </c>
      <c r="AM118" s="148">
        <v>0</v>
      </c>
      <c r="AN118" s="148">
        <v>0</v>
      </c>
      <c r="AO118" s="148">
        <v>0</v>
      </c>
      <c r="AP118" s="148">
        <v>0</v>
      </c>
      <c r="AQ118" s="148">
        <v>0</v>
      </c>
      <c r="AR118" s="148">
        <v>0</v>
      </c>
      <c r="AS118" s="148">
        <v>0</v>
      </c>
      <c r="AT118" s="148">
        <v>0</v>
      </c>
      <c r="AU118" s="148">
        <v>0</v>
      </c>
      <c r="AV118" s="148">
        <v>0</v>
      </c>
      <c r="AW118" s="148">
        <v>0</v>
      </c>
      <c r="AX118" s="148">
        <v>0</v>
      </c>
      <c r="AY118" s="148">
        <v>0</v>
      </c>
      <c r="AZ118" s="148">
        <v>0</v>
      </c>
      <c r="BA118" s="122"/>
      <c r="BB118" s="122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</row>
    <row r="119" spans="2:84" ht="20" hidden="1" customHeight="1" outlineLevel="1" x14ac:dyDescent="0.35">
      <c r="B119" s="11" t="s">
        <v>57</v>
      </c>
      <c r="C119" s="100"/>
      <c r="E119" s="42"/>
      <c r="F119" s="148">
        <f>70000000</f>
        <v>70000000</v>
      </c>
      <c r="G119" s="148">
        <v>60000000</v>
      </c>
      <c r="H119" s="148">
        <v>50000000</v>
      </c>
      <c r="I119" s="148">
        <f>H119</f>
        <v>50000000</v>
      </c>
      <c r="J119" s="148">
        <f>J6-SUM(F119:I119)</f>
        <v>35000000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0</v>
      </c>
      <c r="X119" s="148">
        <v>0</v>
      </c>
      <c r="Y119" s="148">
        <v>0</v>
      </c>
      <c r="Z119" s="148">
        <v>0</v>
      </c>
      <c r="AA119" s="148">
        <v>0</v>
      </c>
      <c r="AB119" s="148">
        <v>0</v>
      </c>
      <c r="AC119" s="148">
        <v>0</v>
      </c>
      <c r="AD119" s="148">
        <v>0</v>
      </c>
      <c r="AE119" s="148">
        <v>0</v>
      </c>
      <c r="AF119" s="148">
        <v>0</v>
      </c>
      <c r="AG119" s="148">
        <v>0</v>
      </c>
      <c r="AH119" s="148">
        <v>0</v>
      </c>
      <c r="AI119" s="148">
        <v>0</v>
      </c>
      <c r="AJ119" s="148">
        <v>0</v>
      </c>
      <c r="AK119" s="148">
        <v>0</v>
      </c>
      <c r="AL119" s="148">
        <v>0</v>
      </c>
      <c r="AM119" s="148">
        <v>0</v>
      </c>
      <c r="AN119" s="148">
        <v>0</v>
      </c>
      <c r="AO119" s="148">
        <v>0</v>
      </c>
      <c r="AP119" s="148">
        <v>0</v>
      </c>
      <c r="AQ119" s="148">
        <v>0</v>
      </c>
      <c r="AR119" s="148">
        <v>0</v>
      </c>
      <c r="AS119" s="148">
        <v>0</v>
      </c>
      <c r="AT119" s="148">
        <v>0</v>
      </c>
      <c r="AU119" s="148">
        <v>0</v>
      </c>
      <c r="AV119" s="148">
        <v>0</v>
      </c>
      <c r="AW119" s="148">
        <v>0</v>
      </c>
      <c r="AX119" s="148">
        <v>0</v>
      </c>
      <c r="AY119" s="148">
        <v>0</v>
      </c>
      <c r="AZ119" s="148">
        <v>0</v>
      </c>
    </row>
    <row r="120" spans="2:84" ht="20" hidden="1" customHeight="1" outlineLevel="1" x14ac:dyDescent="0.35">
      <c r="B120" s="11" t="s">
        <v>61</v>
      </c>
      <c r="C120" s="100"/>
      <c r="E120" s="42"/>
      <c r="F120" s="122">
        <f t="shared" ref="F120:H120" si="44">VLOOKUP(F118,$A$82:$C$85,3,0)</f>
        <v>10000</v>
      </c>
      <c r="G120" s="122">
        <f t="shared" si="44"/>
        <v>10500</v>
      </c>
      <c r="H120" s="122">
        <f t="shared" si="44"/>
        <v>11250</v>
      </c>
      <c r="I120" s="122">
        <f>VLOOKUP(I118,$A$82:$C$85,3,0)</f>
        <v>11750</v>
      </c>
      <c r="J120" s="122">
        <f>VLOOKUP(J118,$A$82:$C$85,3,0)</f>
        <v>11750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  <c r="X120" s="148">
        <v>0</v>
      </c>
      <c r="Y120" s="148">
        <v>0</v>
      </c>
      <c r="Z120" s="148">
        <v>0</v>
      </c>
      <c r="AA120" s="148">
        <v>0</v>
      </c>
      <c r="AB120" s="148">
        <v>0</v>
      </c>
      <c r="AC120" s="148">
        <v>0</v>
      </c>
      <c r="AD120" s="148">
        <v>0</v>
      </c>
      <c r="AE120" s="148">
        <v>0</v>
      </c>
      <c r="AF120" s="148">
        <v>0</v>
      </c>
      <c r="AG120" s="148">
        <v>0</v>
      </c>
      <c r="AH120" s="148">
        <v>0</v>
      </c>
      <c r="AI120" s="148">
        <v>0</v>
      </c>
      <c r="AJ120" s="148">
        <v>0</v>
      </c>
      <c r="AK120" s="148">
        <v>0</v>
      </c>
      <c r="AL120" s="148">
        <v>0</v>
      </c>
      <c r="AM120" s="148">
        <v>0</v>
      </c>
      <c r="AN120" s="148">
        <v>0</v>
      </c>
      <c r="AO120" s="148">
        <v>0</v>
      </c>
      <c r="AP120" s="148">
        <v>0</v>
      </c>
      <c r="AQ120" s="148">
        <v>0</v>
      </c>
      <c r="AR120" s="148">
        <v>0</v>
      </c>
      <c r="AS120" s="148">
        <v>0</v>
      </c>
      <c r="AT120" s="148">
        <v>0</v>
      </c>
      <c r="AU120" s="148">
        <v>0</v>
      </c>
      <c r="AV120" s="148">
        <v>0</v>
      </c>
      <c r="AW120" s="148">
        <v>0</v>
      </c>
      <c r="AX120" s="148">
        <v>0</v>
      </c>
      <c r="AY120" s="148">
        <v>0</v>
      </c>
      <c r="AZ120" s="148">
        <v>0</v>
      </c>
      <c r="BA120" s="122"/>
      <c r="BB120" s="122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</row>
    <row r="121" spans="2:84" ht="20" hidden="1" customHeight="1" outlineLevel="1" x14ac:dyDescent="0.35">
      <c r="B121" s="11" t="s">
        <v>166</v>
      </c>
      <c r="C121" s="100"/>
      <c r="E121" s="42"/>
      <c r="F121" s="122">
        <f>F119/F120</f>
        <v>7000</v>
      </c>
      <c r="G121" s="122">
        <f>G119/G120</f>
        <v>5714.2857142857147</v>
      </c>
      <c r="H121" s="122">
        <f>H119/H120</f>
        <v>4444.4444444444443</v>
      </c>
      <c r="I121" s="122">
        <f>I119/I120</f>
        <v>4255.3191489361698</v>
      </c>
      <c r="J121" s="122">
        <f>J119/J120</f>
        <v>2978.7234042553191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  <c r="X121" s="148">
        <v>0</v>
      </c>
      <c r="Y121" s="148">
        <v>0</v>
      </c>
      <c r="Z121" s="148">
        <v>0</v>
      </c>
      <c r="AA121" s="148">
        <v>0</v>
      </c>
      <c r="AB121" s="148">
        <v>0</v>
      </c>
      <c r="AC121" s="148">
        <v>0</v>
      </c>
      <c r="AD121" s="148">
        <v>0</v>
      </c>
      <c r="AE121" s="148">
        <v>0</v>
      </c>
      <c r="AF121" s="148">
        <v>0</v>
      </c>
      <c r="AG121" s="148">
        <v>0</v>
      </c>
      <c r="AH121" s="148">
        <v>0</v>
      </c>
      <c r="AI121" s="148">
        <v>0</v>
      </c>
      <c r="AJ121" s="148">
        <v>0</v>
      </c>
      <c r="AK121" s="148">
        <v>0</v>
      </c>
      <c r="AL121" s="148">
        <v>0</v>
      </c>
      <c r="AM121" s="148">
        <v>0</v>
      </c>
      <c r="AN121" s="148">
        <v>0</v>
      </c>
      <c r="AO121" s="148">
        <v>0</v>
      </c>
      <c r="AP121" s="148">
        <v>0</v>
      </c>
      <c r="AQ121" s="148">
        <v>0</v>
      </c>
      <c r="AR121" s="148">
        <v>0</v>
      </c>
      <c r="AS121" s="148">
        <v>0</v>
      </c>
      <c r="AT121" s="148">
        <v>0</v>
      </c>
      <c r="AU121" s="148">
        <v>0</v>
      </c>
      <c r="AV121" s="148">
        <v>0</v>
      </c>
      <c r="AW121" s="148">
        <v>0</v>
      </c>
      <c r="AX121" s="148">
        <v>0</v>
      </c>
      <c r="AY121" s="148">
        <v>0</v>
      </c>
      <c r="AZ121" s="148">
        <v>0</v>
      </c>
      <c r="BA121" s="122"/>
      <c r="BB121" s="122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</row>
    <row r="122" spans="2:84" ht="20" hidden="1" customHeight="1" outlineLevel="1" x14ac:dyDescent="0.35">
      <c r="C122" s="100"/>
      <c r="E122" s="42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</row>
    <row r="123" spans="2:84" ht="20" hidden="1" customHeight="1" outlineLevel="1" x14ac:dyDescent="0.35">
      <c r="B123" s="52" t="s">
        <v>255</v>
      </c>
      <c r="C123" s="100"/>
      <c r="E123" s="42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</row>
    <row r="124" spans="2:84" ht="20" hidden="1" customHeight="1" outlineLevel="1" x14ac:dyDescent="0.35">
      <c r="B124" s="11" t="s">
        <v>129</v>
      </c>
      <c r="C124" s="100"/>
      <c r="E124" s="42"/>
      <c r="F124" s="122">
        <f>-SUM($F$199:$K$199)</f>
        <v>191870372.9508197</v>
      </c>
      <c r="G124" s="122">
        <f>F124+G125-G126</f>
        <v>172683335.65573773</v>
      </c>
      <c r="H124" s="122">
        <f>G124+H125+H126</f>
        <v>171244307.85860658</v>
      </c>
      <c r="I124" s="122">
        <f t="shared" ref="I124:AZ124" si="45">H124+I125+I126</f>
        <v>169805280.06147543</v>
      </c>
      <c r="J124" s="122">
        <f t="shared" si="45"/>
        <v>168366252.26434427</v>
      </c>
      <c r="K124" s="122">
        <f t="shared" si="45"/>
        <v>166927224.46721312</v>
      </c>
      <c r="L124" s="122">
        <f t="shared" si="45"/>
        <v>165488196.67008197</v>
      </c>
      <c r="M124" s="122">
        <f t="shared" si="45"/>
        <v>164049168.87295082</v>
      </c>
      <c r="N124" s="122">
        <f t="shared" si="45"/>
        <v>162610141.07581967</v>
      </c>
      <c r="O124" s="122">
        <f t="shared" si="45"/>
        <v>161171113.27868852</v>
      </c>
      <c r="P124" s="122">
        <f t="shared" si="45"/>
        <v>159732085.48155737</v>
      </c>
      <c r="Q124" s="122">
        <f t="shared" si="45"/>
        <v>158293057.68442622</v>
      </c>
      <c r="R124" s="122">
        <f t="shared" si="45"/>
        <v>156854029.88729507</v>
      </c>
      <c r="S124" s="122">
        <f t="shared" si="45"/>
        <v>155415002.09016392</v>
      </c>
      <c r="T124" s="122">
        <f t="shared" si="45"/>
        <v>153975974.29303277</v>
      </c>
      <c r="U124" s="122">
        <f t="shared" si="45"/>
        <v>152536946.49590161</v>
      </c>
      <c r="V124" s="122">
        <f t="shared" si="45"/>
        <v>151097918.69877046</v>
      </c>
      <c r="W124" s="122">
        <f t="shared" si="45"/>
        <v>149658890.90163931</v>
      </c>
      <c r="X124" s="122">
        <f t="shared" si="45"/>
        <v>148219863.10450816</v>
      </c>
      <c r="Y124" s="122">
        <f t="shared" si="45"/>
        <v>146780835.30737701</v>
      </c>
      <c r="Z124" s="122">
        <f t="shared" si="45"/>
        <v>145341807.51024586</v>
      </c>
      <c r="AA124" s="122">
        <f t="shared" si="45"/>
        <v>143902779.71311471</v>
      </c>
      <c r="AB124" s="122">
        <f t="shared" si="45"/>
        <v>142463751.91598356</v>
      </c>
      <c r="AC124" s="122">
        <f t="shared" si="45"/>
        <v>141024724.11885241</v>
      </c>
      <c r="AD124" s="122">
        <f t="shared" si="45"/>
        <v>139585696.32172126</v>
      </c>
      <c r="AE124" s="122">
        <f t="shared" si="45"/>
        <v>138146668.5245901</v>
      </c>
      <c r="AF124" s="122">
        <f t="shared" si="45"/>
        <v>136707640.72745895</v>
      </c>
      <c r="AG124" s="122">
        <f t="shared" si="45"/>
        <v>135268612.9303278</v>
      </c>
      <c r="AH124" s="122">
        <f t="shared" si="45"/>
        <v>133829585.13319665</v>
      </c>
      <c r="AI124" s="122">
        <f t="shared" si="45"/>
        <v>132390557.3360655</v>
      </c>
      <c r="AJ124" s="122">
        <f t="shared" si="45"/>
        <v>130951529.53893435</v>
      </c>
      <c r="AK124" s="122">
        <f t="shared" si="45"/>
        <v>129512501.7418032</v>
      </c>
      <c r="AL124" s="122">
        <f t="shared" si="45"/>
        <v>128073473.94467205</v>
      </c>
      <c r="AM124" s="122">
        <f t="shared" si="45"/>
        <v>126634446.1475409</v>
      </c>
      <c r="AN124" s="122">
        <f t="shared" si="45"/>
        <v>125195418.35040975</v>
      </c>
      <c r="AO124" s="122">
        <f t="shared" si="45"/>
        <v>123756390.5532786</v>
      </c>
      <c r="AP124" s="122">
        <f t="shared" si="45"/>
        <v>122317362.75614744</v>
      </c>
      <c r="AQ124" s="122">
        <f t="shared" si="45"/>
        <v>120878334.95901629</v>
      </c>
      <c r="AR124" s="122">
        <f t="shared" si="45"/>
        <v>119439307.16188514</v>
      </c>
      <c r="AS124" s="122">
        <f t="shared" si="45"/>
        <v>118000279.36475399</v>
      </c>
      <c r="AT124" s="122">
        <f t="shared" si="45"/>
        <v>116561251.56762284</v>
      </c>
      <c r="AU124" s="122">
        <f t="shared" si="45"/>
        <v>115122223.77049169</v>
      </c>
      <c r="AV124" s="122">
        <f t="shared" si="45"/>
        <v>113683195.97336054</v>
      </c>
      <c r="AW124" s="122">
        <f t="shared" si="45"/>
        <v>112244168.17622939</v>
      </c>
      <c r="AX124" s="122">
        <f t="shared" si="45"/>
        <v>110805140.37909824</v>
      </c>
      <c r="AY124" s="122">
        <f t="shared" si="45"/>
        <v>109366112.58196709</v>
      </c>
      <c r="AZ124" s="122">
        <f t="shared" si="45"/>
        <v>107927084.78483593</v>
      </c>
    </row>
    <row r="125" spans="2:84" ht="20" hidden="1" customHeight="1" outlineLevel="1" x14ac:dyDescent="0.35">
      <c r="B125" s="11" t="s">
        <v>131</v>
      </c>
      <c r="C125" s="100"/>
      <c r="E125" s="42"/>
      <c r="F125" s="122">
        <v>0</v>
      </c>
      <c r="G125" s="122">
        <f>F124*-10%</f>
        <v>-19187037.295081969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0</v>
      </c>
      <c r="N125" s="122">
        <v>0</v>
      </c>
      <c r="O125" s="122">
        <v>0</v>
      </c>
      <c r="P125" s="122">
        <v>0</v>
      </c>
      <c r="Q125" s="122">
        <v>0</v>
      </c>
      <c r="R125" s="122">
        <v>0</v>
      </c>
      <c r="S125" s="122">
        <v>0</v>
      </c>
      <c r="T125" s="122">
        <v>0</v>
      </c>
      <c r="U125" s="122">
        <v>0</v>
      </c>
      <c r="V125" s="122">
        <v>0</v>
      </c>
      <c r="W125" s="122">
        <v>0</v>
      </c>
      <c r="X125" s="122">
        <v>0</v>
      </c>
      <c r="Y125" s="122">
        <v>0</v>
      </c>
      <c r="Z125" s="122">
        <v>0</v>
      </c>
      <c r="AA125" s="122">
        <v>0</v>
      </c>
      <c r="AB125" s="122">
        <v>0</v>
      </c>
      <c r="AC125" s="122">
        <v>0</v>
      </c>
      <c r="AD125" s="122">
        <v>0</v>
      </c>
      <c r="AE125" s="122">
        <v>0</v>
      </c>
      <c r="AF125" s="122">
        <v>0</v>
      </c>
      <c r="AG125" s="122">
        <v>0</v>
      </c>
      <c r="AH125" s="122">
        <v>0</v>
      </c>
      <c r="AI125" s="122">
        <v>0</v>
      </c>
      <c r="AJ125" s="122">
        <v>0</v>
      </c>
      <c r="AK125" s="122">
        <v>0</v>
      </c>
      <c r="AL125" s="122">
        <v>0</v>
      </c>
      <c r="AM125" s="122">
        <v>0</v>
      </c>
      <c r="AN125" s="122">
        <v>0</v>
      </c>
      <c r="AO125" s="122">
        <v>0</v>
      </c>
      <c r="AP125" s="122">
        <v>0</v>
      </c>
      <c r="AQ125" s="122">
        <v>0</v>
      </c>
      <c r="AR125" s="122">
        <v>0</v>
      </c>
      <c r="AS125" s="122">
        <v>0</v>
      </c>
      <c r="AT125" s="122">
        <v>0</v>
      </c>
      <c r="AU125" s="122">
        <v>0</v>
      </c>
      <c r="AV125" s="122">
        <v>0</v>
      </c>
      <c r="AW125" s="122">
        <v>0</v>
      </c>
      <c r="AX125" s="122">
        <v>0</v>
      </c>
      <c r="AY125" s="122">
        <v>0</v>
      </c>
      <c r="AZ125" s="122">
        <v>0</v>
      </c>
    </row>
    <row r="126" spans="2:84" ht="20" hidden="1" customHeight="1" outlineLevel="1" x14ac:dyDescent="0.35">
      <c r="B126" s="11" t="s">
        <v>130</v>
      </c>
      <c r="C126" s="100"/>
      <c r="E126" s="42"/>
      <c r="F126" s="122">
        <v>0</v>
      </c>
      <c r="G126" s="122">
        <v>0</v>
      </c>
      <c r="H126" s="122">
        <f>-$G$124/$F$127/4</f>
        <v>-1439027.7971311477</v>
      </c>
      <c r="I126" s="122">
        <f t="shared" ref="I126:AZ126" si="46">-$G$124/$F$127/4</f>
        <v>-1439027.7971311477</v>
      </c>
      <c r="J126" s="122">
        <f t="shared" si="46"/>
        <v>-1439027.7971311477</v>
      </c>
      <c r="K126" s="122">
        <f t="shared" si="46"/>
        <v>-1439027.7971311477</v>
      </c>
      <c r="L126" s="122">
        <f t="shared" si="46"/>
        <v>-1439027.7971311477</v>
      </c>
      <c r="M126" s="122">
        <f t="shared" si="46"/>
        <v>-1439027.7971311477</v>
      </c>
      <c r="N126" s="122">
        <f t="shared" si="46"/>
        <v>-1439027.7971311477</v>
      </c>
      <c r="O126" s="122">
        <f t="shared" si="46"/>
        <v>-1439027.7971311477</v>
      </c>
      <c r="P126" s="122">
        <f t="shared" si="46"/>
        <v>-1439027.7971311477</v>
      </c>
      <c r="Q126" s="122">
        <f t="shared" si="46"/>
        <v>-1439027.7971311477</v>
      </c>
      <c r="R126" s="122">
        <f t="shared" si="46"/>
        <v>-1439027.7971311477</v>
      </c>
      <c r="S126" s="122">
        <f t="shared" si="46"/>
        <v>-1439027.7971311477</v>
      </c>
      <c r="T126" s="122">
        <f t="shared" si="46"/>
        <v>-1439027.7971311477</v>
      </c>
      <c r="U126" s="122">
        <f t="shared" si="46"/>
        <v>-1439027.7971311477</v>
      </c>
      <c r="V126" s="122">
        <f t="shared" si="46"/>
        <v>-1439027.7971311477</v>
      </c>
      <c r="W126" s="122">
        <f t="shared" si="46"/>
        <v>-1439027.7971311477</v>
      </c>
      <c r="X126" s="122">
        <f t="shared" si="46"/>
        <v>-1439027.7971311477</v>
      </c>
      <c r="Y126" s="122">
        <f t="shared" si="46"/>
        <v>-1439027.7971311477</v>
      </c>
      <c r="Z126" s="122">
        <f t="shared" si="46"/>
        <v>-1439027.7971311477</v>
      </c>
      <c r="AA126" s="122">
        <f t="shared" si="46"/>
        <v>-1439027.7971311477</v>
      </c>
      <c r="AB126" s="122">
        <f t="shared" si="46"/>
        <v>-1439027.7971311477</v>
      </c>
      <c r="AC126" s="122">
        <f t="shared" si="46"/>
        <v>-1439027.7971311477</v>
      </c>
      <c r="AD126" s="122">
        <f t="shared" si="46"/>
        <v>-1439027.7971311477</v>
      </c>
      <c r="AE126" s="122">
        <f t="shared" si="46"/>
        <v>-1439027.7971311477</v>
      </c>
      <c r="AF126" s="122">
        <f t="shared" si="46"/>
        <v>-1439027.7971311477</v>
      </c>
      <c r="AG126" s="122">
        <f t="shared" si="46"/>
        <v>-1439027.7971311477</v>
      </c>
      <c r="AH126" s="122">
        <f t="shared" si="46"/>
        <v>-1439027.7971311477</v>
      </c>
      <c r="AI126" s="122">
        <f t="shared" si="46"/>
        <v>-1439027.7971311477</v>
      </c>
      <c r="AJ126" s="122">
        <f t="shared" si="46"/>
        <v>-1439027.7971311477</v>
      </c>
      <c r="AK126" s="122">
        <f t="shared" si="46"/>
        <v>-1439027.7971311477</v>
      </c>
      <c r="AL126" s="122">
        <f t="shared" si="46"/>
        <v>-1439027.7971311477</v>
      </c>
      <c r="AM126" s="122">
        <f t="shared" si="46"/>
        <v>-1439027.7971311477</v>
      </c>
      <c r="AN126" s="122">
        <f t="shared" si="46"/>
        <v>-1439027.7971311477</v>
      </c>
      <c r="AO126" s="122">
        <f t="shared" si="46"/>
        <v>-1439027.7971311477</v>
      </c>
      <c r="AP126" s="122">
        <f t="shared" si="46"/>
        <v>-1439027.7971311477</v>
      </c>
      <c r="AQ126" s="122">
        <f t="shared" si="46"/>
        <v>-1439027.7971311477</v>
      </c>
      <c r="AR126" s="122">
        <f t="shared" si="46"/>
        <v>-1439027.7971311477</v>
      </c>
      <c r="AS126" s="122">
        <f t="shared" si="46"/>
        <v>-1439027.7971311477</v>
      </c>
      <c r="AT126" s="122">
        <f t="shared" si="46"/>
        <v>-1439027.7971311477</v>
      </c>
      <c r="AU126" s="122">
        <f t="shared" si="46"/>
        <v>-1439027.7971311477</v>
      </c>
      <c r="AV126" s="122">
        <f t="shared" si="46"/>
        <v>-1439027.7971311477</v>
      </c>
      <c r="AW126" s="122">
        <f t="shared" si="46"/>
        <v>-1439027.7971311477</v>
      </c>
      <c r="AX126" s="122">
        <f t="shared" si="46"/>
        <v>-1439027.7971311477</v>
      </c>
      <c r="AY126" s="122">
        <f t="shared" si="46"/>
        <v>-1439027.7971311477</v>
      </c>
      <c r="AZ126" s="122">
        <f t="shared" si="46"/>
        <v>-1439027.7971311477</v>
      </c>
    </row>
    <row r="127" spans="2:84" ht="20" hidden="1" customHeight="1" outlineLevel="1" x14ac:dyDescent="0.35">
      <c r="B127" s="99" t="s">
        <v>132</v>
      </c>
      <c r="C127" s="100"/>
      <c r="E127" s="42"/>
      <c r="F127" s="128">
        <v>30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</row>
    <row r="128" spans="2:84" ht="20" hidden="1" customHeight="1" outlineLevel="1" x14ac:dyDescent="0.35">
      <c r="B128" s="99"/>
      <c r="C128" s="100"/>
      <c r="E128" s="42"/>
      <c r="F128" s="42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</row>
    <row r="129" spans="2:52" ht="20" hidden="1" customHeight="1" outlineLevel="1" x14ac:dyDescent="0.35">
      <c r="B129" s="52" t="s">
        <v>256</v>
      </c>
      <c r="C129" s="100"/>
      <c r="E129" s="42"/>
      <c r="F129" s="42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</row>
    <row r="130" spans="2:52" ht="20" hidden="1" customHeight="1" outlineLevel="1" x14ac:dyDescent="0.35">
      <c r="B130" s="11" t="s">
        <v>257</v>
      </c>
      <c r="C130" s="100"/>
      <c r="E130" s="42"/>
      <c r="F130" s="122">
        <f>-F200</f>
        <v>10719467.213114753</v>
      </c>
      <c r="G130" s="23">
        <f>F130-G200+G131</f>
        <v>21438934.426229507</v>
      </c>
      <c r="H130" s="23">
        <f>G130-H200+H131</f>
        <v>32158401.63934426</v>
      </c>
      <c r="I130" s="23">
        <f>H130-I200+I131</f>
        <v>31890414.95901639</v>
      </c>
      <c r="J130" s="23">
        <f>I130-J200+J131</f>
        <v>31622428.27868852</v>
      </c>
      <c r="K130" s="23">
        <f t="shared" ref="K130:AZ130" si="47">J130-K200+K131</f>
        <v>31354441.59836065</v>
      </c>
      <c r="L130" s="23">
        <f t="shared" si="47"/>
        <v>31086454.91803278</v>
      </c>
      <c r="M130" s="23">
        <f t="shared" si="47"/>
        <v>30818468.23770491</v>
      </c>
      <c r="N130" s="23">
        <f t="shared" si="47"/>
        <v>30550481.55737704</v>
      </c>
      <c r="O130" s="23">
        <f t="shared" si="47"/>
        <v>30282494.87704917</v>
      </c>
      <c r="P130" s="23">
        <f t="shared" si="47"/>
        <v>30014508.1967213</v>
      </c>
      <c r="Q130" s="23">
        <f t="shared" si="47"/>
        <v>29746521.516393431</v>
      </c>
      <c r="R130" s="23">
        <f t="shared" si="47"/>
        <v>29478534.836065561</v>
      </c>
      <c r="S130" s="23">
        <f t="shared" si="47"/>
        <v>29210548.155737691</v>
      </c>
      <c r="T130" s="23">
        <f t="shared" si="47"/>
        <v>28942561.475409821</v>
      </c>
      <c r="U130" s="23">
        <f t="shared" si="47"/>
        <v>28674574.795081951</v>
      </c>
      <c r="V130" s="23">
        <f t="shared" si="47"/>
        <v>28406588.114754081</v>
      </c>
      <c r="W130" s="23">
        <f t="shared" si="47"/>
        <v>28138601.434426211</v>
      </c>
      <c r="X130" s="23">
        <f t="shared" si="47"/>
        <v>27870614.754098341</v>
      </c>
      <c r="Y130" s="23">
        <f t="shared" si="47"/>
        <v>27602628.073770471</v>
      </c>
      <c r="Z130" s="23">
        <f t="shared" si="47"/>
        <v>27334641.393442601</v>
      </c>
      <c r="AA130" s="23">
        <f t="shared" si="47"/>
        <v>27066654.713114731</v>
      </c>
      <c r="AB130" s="23">
        <f t="shared" si="47"/>
        <v>26798668.032786861</v>
      </c>
      <c r="AC130" s="23">
        <f t="shared" si="47"/>
        <v>26530681.352458991</v>
      </c>
      <c r="AD130" s="23">
        <f t="shared" si="47"/>
        <v>26262694.672131121</v>
      </c>
      <c r="AE130" s="23">
        <f t="shared" si="47"/>
        <v>25994707.991803251</v>
      </c>
      <c r="AF130" s="23">
        <f t="shared" si="47"/>
        <v>25726721.311475381</v>
      </c>
      <c r="AG130" s="23">
        <f t="shared" si="47"/>
        <v>25458734.631147511</v>
      </c>
      <c r="AH130" s="23">
        <f t="shared" si="47"/>
        <v>25190747.950819641</v>
      </c>
      <c r="AI130" s="23">
        <f t="shared" si="47"/>
        <v>24922761.270491771</v>
      </c>
      <c r="AJ130" s="23">
        <f t="shared" si="47"/>
        <v>24654774.590163901</v>
      </c>
      <c r="AK130" s="23">
        <f t="shared" si="47"/>
        <v>24386787.909836031</v>
      </c>
      <c r="AL130" s="23">
        <f t="shared" si="47"/>
        <v>24118801.229508162</v>
      </c>
      <c r="AM130" s="23">
        <f t="shared" si="47"/>
        <v>23850814.549180292</v>
      </c>
      <c r="AN130" s="23">
        <f t="shared" si="47"/>
        <v>23582827.868852422</v>
      </c>
      <c r="AO130" s="23">
        <f t="shared" si="47"/>
        <v>23314841.188524552</v>
      </c>
      <c r="AP130" s="23">
        <f t="shared" si="47"/>
        <v>23046854.508196682</v>
      </c>
      <c r="AQ130" s="23">
        <f t="shared" si="47"/>
        <v>22778867.827868812</v>
      </c>
      <c r="AR130" s="23">
        <f t="shared" si="47"/>
        <v>22510881.147540942</v>
      </c>
      <c r="AS130" s="23">
        <f t="shared" si="47"/>
        <v>22242894.467213072</v>
      </c>
      <c r="AT130" s="23">
        <f t="shared" si="47"/>
        <v>21974907.786885202</v>
      </c>
      <c r="AU130" s="23">
        <f t="shared" si="47"/>
        <v>21706921.106557332</v>
      </c>
      <c r="AV130" s="23">
        <f t="shared" si="47"/>
        <v>21438934.426229462</v>
      </c>
      <c r="AW130" s="23">
        <f t="shared" si="47"/>
        <v>21170947.745901592</v>
      </c>
      <c r="AX130" s="23">
        <f t="shared" si="47"/>
        <v>20902961.065573722</v>
      </c>
      <c r="AY130" s="23">
        <f t="shared" si="47"/>
        <v>20634974.385245852</v>
      </c>
      <c r="AZ130" s="23">
        <f t="shared" si="47"/>
        <v>20366987.704917982</v>
      </c>
    </row>
    <row r="131" spans="2:52" ht="20" hidden="1" customHeight="1" outlineLevel="1" x14ac:dyDescent="0.35">
      <c r="B131" s="11" t="s">
        <v>130</v>
      </c>
      <c r="C131" s="100"/>
      <c r="E131" s="42"/>
      <c r="F131" s="148">
        <v>0</v>
      </c>
      <c r="G131" s="148">
        <v>0</v>
      </c>
      <c r="H131" s="148">
        <v>0</v>
      </c>
      <c r="I131" s="122">
        <f>-$H$130/$F$132/4</f>
        <v>-267986.68032786885</v>
      </c>
      <c r="J131" s="122">
        <f t="shared" ref="J131:AZ131" si="48">-$H$130/$F$132/4</f>
        <v>-267986.68032786885</v>
      </c>
      <c r="K131" s="122">
        <f t="shared" si="48"/>
        <v>-267986.68032786885</v>
      </c>
      <c r="L131" s="122">
        <f t="shared" si="48"/>
        <v>-267986.68032786885</v>
      </c>
      <c r="M131" s="122">
        <f t="shared" si="48"/>
        <v>-267986.68032786885</v>
      </c>
      <c r="N131" s="122">
        <f t="shared" si="48"/>
        <v>-267986.68032786885</v>
      </c>
      <c r="O131" s="122">
        <f t="shared" si="48"/>
        <v>-267986.68032786885</v>
      </c>
      <c r="P131" s="122">
        <f t="shared" si="48"/>
        <v>-267986.68032786885</v>
      </c>
      <c r="Q131" s="122">
        <f t="shared" si="48"/>
        <v>-267986.68032786885</v>
      </c>
      <c r="R131" s="122">
        <f t="shared" si="48"/>
        <v>-267986.68032786885</v>
      </c>
      <c r="S131" s="122">
        <f t="shared" si="48"/>
        <v>-267986.68032786885</v>
      </c>
      <c r="T131" s="122">
        <f t="shared" si="48"/>
        <v>-267986.68032786885</v>
      </c>
      <c r="U131" s="122">
        <f t="shared" si="48"/>
        <v>-267986.68032786885</v>
      </c>
      <c r="V131" s="122">
        <f t="shared" si="48"/>
        <v>-267986.68032786885</v>
      </c>
      <c r="W131" s="122">
        <f t="shared" si="48"/>
        <v>-267986.68032786885</v>
      </c>
      <c r="X131" s="122">
        <f t="shared" si="48"/>
        <v>-267986.68032786885</v>
      </c>
      <c r="Y131" s="122">
        <f t="shared" si="48"/>
        <v>-267986.68032786885</v>
      </c>
      <c r="Z131" s="122">
        <f t="shared" si="48"/>
        <v>-267986.68032786885</v>
      </c>
      <c r="AA131" s="122">
        <f t="shared" si="48"/>
        <v>-267986.68032786885</v>
      </c>
      <c r="AB131" s="122">
        <f t="shared" si="48"/>
        <v>-267986.68032786885</v>
      </c>
      <c r="AC131" s="122">
        <f t="shared" si="48"/>
        <v>-267986.68032786885</v>
      </c>
      <c r="AD131" s="122">
        <f t="shared" si="48"/>
        <v>-267986.68032786885</v>
      </c>
      <c r="AE131" s="122">
        <f t="shared" si="48"/>
        <v>-267986.68032786885</v>
      </c>
      <c r="AF131" s="122">
        <f t="shared" si="48"/>
        <v>-267986.68032786885</v>
      </c>
      <c r="AG131" s="122">
        <f t="shared" si="48"/>
        <v>-267986.68032786885</v>
      </c>
      <c r="AH131" s="122">
        <f t="shared" si="48"/>
        <v>-267986.68032786885</v>
      </c>
      <c r="AI131" s="122">
        <f t="shared" si="48"/>
        <v>-267986.68032786885</v>
      </c>
      <c r="AJ131" s="122">
        <f t="shared" si="48"/>
        <v>-267986.68032786885</v>
      </c>
      <c r="AK131" s="122">
        <f t="shared" si="48"/>
        <v>-267986.68032786885</v>
      </c>
      <c r="AL131" s="122">
        <f t="shared" si="48"/>
        <v>-267986.68032786885</v>
      </c>
      <c r="AM131" s="122">
        <f t="shared" si="48"/>
        <v>-267986.68032786885</v>
      </c>
      <c r="AN131" s="122">
        <f t="shared" si="48"/>
        <v>-267986.68032786885</v>
      </c>
      <c r="AO131" s="122">
        <f t="shared" si="48"/>
        <v>-267986.68032786885</v>
      </c>
      <c r="AP131" s="122">
        <f t="shared" si="48"/>
        <v>-267986.68032786885</v>
      </c>
      <c r="AQ131" s="122">
        <f t="shared" si="48"/>
        <v>-267986.68032786885</v>
      </c>
      <c r="AR131" s="122">
        <f t="shared" si="48"/>
        <v>-267986.68032786885</v>
      </c>
      <c r="AS131" s="122">
        <f t="shared" si="48"/>
        <v>-267986.68032786885</v>
      </c>
      <c r="AT131" s="122">
        <f t="shared" si="48"/>
        <v>-267986.68032786885</v>
      </c>
      <c r="AU131" s="122">
        <f t="shared" si="48"/>
        <v>-267986.68032786885</v>
      </c>
      <c r="AV131" s="122">
        <f t="shared" si="48"/>
        <v>-267986.68032786885</v>
      </c>
      <c r="AW131" s="122">
        <f t="shared" si="48"/>
        <v>-267986.68032786885</v>
      </c>
      <c r="AX131" s="122">
        <f t="shared" si="48"/>
        <v>-267986.68032786885</v>
      </c>
      <c r="AY131" s="122">
        <f t="shared" si="48"/>
        <v>-267986.68032786885</v>
      </c>
      <c r="AZ131" s="122">
        <f t="shared" si="48"/>
        <v>-267986.68032786885</v>
      </c>
    </row>
    <row r="132" spans="2:52" ht="20" hidden="1" customHeight="1" outlineLevel="1" x14ac:dyDescent="0.35">
      <c r="B132" s="99" t="s">
        <v>132</v>
      </c>
      <c r="C132" s="100"/>
      <c r="E132" s="42"/>
      <c r="F132" s="128">
        <v>30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</row>
    <row r="133" spans="2:52" ht="20" hidden="1" customHeight="1" outlineLevel="1" x14ac:dyDescent="0.35">
      <c r="B133" s="99"/>
      <c r="C133" s="100"/>
      <c r="E133" s="42"/>
      <c r="F133" s="42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</row>
    <row r="134" spans="2:52" ht="20" hidden="1" customHeight="1" outlineLevel="1" x14ac:dyDescent="0.35">
      <c r="B134" s="99"/>
      <c r="C134" s="100"/>
      <c r="E134" s="42"/>
      <c r="F134" s="42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</row>
    <row r="135" spans="2:52" ht="20" customHeight="1" collapsed="1" x14ac:dyDescent="0.35">
      <c r="B135" s="99"/>
      <c r="C135" s="100"/>
      <c r="E135" s="42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</row>
    <row r="136" spans="2:52" ht="20" hidden="1" customHeight="1" outlineLevel="1" x14ac:dyDescent="0.35">
      <c r="B136" s="141" t="s">
        <v>136</v>
      </c>
      <c r="C136" s="142"/>
      <c r="D136" s="143"/>
      <c r="E136" s="144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</row>
    <row r="137" spans="2:52" ht="20" hidden="1" customHeight="1" outlineLevel="1" x14ac:dyDescent="0.35">
      <c r="B137" s="99"/>
      <c r="C137" s="100"/>
      <c r="E137" s="42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</row>
    <row r="138" spans="2:52" ht="20" hidden="1" customHeight="1" outlineLevel="1" x14ac:dyDescent="0.35">
      <c r="B138" s="30" t="s">
        <v>93</v>
      </c>
      <c r="C138" s="100"/>
      <c r="E138" s="42"/>
      <c r="F138" s="100">
        <v>0</v>
      </c>
      <c r="G138" s="100">
        <f>F143</f>
        <v>0</v>
      </c>
      <c r="H138" s="100">
        <f t="shared" ref="H138:AZ138" si="49">G143</f>
        <v>0</v>
      </c>
      <c r="I138" s="100">
        <f t="shared" si="49"/>
        <v>0</v>
      </c>
      <c r="J138" s="100">
        <f t="shared" si="49"/>
        <v>0</v>
      </c>
      <c r="K138" s="100">
        <f t="shared" si="49"/>
        <v>0</v>
      </c>
      <c r="L138" s="100">
        <f t="shared" si="49"/>
        <v>0</v>
      </c>
      <c r="M138" s="100">
        <f t="shared" si="49"/>
        <v>0</v>
      </c>
      <c r="N138" s="100">
        <f t="shared" si="49"/>
        <v>0</v>
      </c>
      <c r="O138" s="100">
        <f t="shared" si="49"/>
        <v>0</v>
      </c>
      <c r="P138" s="100">
        <f t="shared" si="49"/>
        <v>0</v>
      </c>
      <c r="Q138" s="100">
        <f t="shared" si="49"/>
        <v>0</v>
      </c>
      <c r="R138" s="100">
        <f t="shared" si="49"/>
        <v>0</v>
      </c>
      <c r="S138" s="100">
        <f t="shared" si="49"/>
        <v>0</v>
      </c>
      <c r="T138" s="100">
        <f t="shared" si="49"/>
        <v>0</v>
      </c>
      <c r="U138" s="100">
        <f t="shared" si="49"/>
        <v>0</v>
      </c>
      <c r="V138" s="100">
        <f t="shared" si="49"/>
        <v>0</v>
      </c>
      <c r="W138" s="100">
        <f t="shared" si="49"/>
        <v>0</v>
      </c>
      <c r="X138" s="100">
        <f t="shared" si="49"/>
        <v>0</v>
      </c>
      <c r="Y138" s="100">
        <f t="shared" si="49"/>
        <v>0</v>
      </c>
      <c r="Z138" s="100">
        <f t="shared" si="49"/>
        <v>0</v>
      </c>
      <c r="AA138" s="100">
        <f t="shared" si="49"/>
        <v>0</v>
      </c>
      <c r="AB138" s="100">
        <f t="shared" si="49"/>
        <v>0</v>
      </c>
      <c r="AC138" s="100">
        <f t="shared" si="49"/>
        <v>0</v>
      </c>
      <c r="AD138" s="100">
        <f t="shared" si="49"/>
        <v>0</v>
      </c>
      <c r="AE138" s="100">
        <f t="shared" si="49"/>
        <v>0</v>
      </c>
      <c r="AF138" s="100">
        <f t="shared" si="49"/>
        <v>0</v>
      </c>
      <c r="AG138" s="100">
        <f t="shared" si="49"/>
        <v>0</v>
      </c>
      <c r="AH138" s="100">
        <f t="shared" si="49"/>
        <v>0</v>
      </c>
      <c r="AI138" s="100">
        <f t="shared" si="49"/>
        <v>0</v>
      </c>
      <c r="AJ138" s="100">
        <f t="shared" si="49"/>
        <v>0</v>
      </c>
      <c r="AK138" s="100">
        <f t="shared" si="49"/>
        <v>0</v>
      </c>
      <c r="AL138" s="100">
        <f t="shared" si="49"/>
        <v>0</v>
      </c>
      <c r="AM138" s="100">
        <f t="shared" si="49"/>
        <v>0</v>
      </c>
      <c r="AN138" s="100">
        <f t="shared" si="49"/>
        <v>0</v>
      </c>
      <c r="AO138" s="100">
        <f t="shared" si="49"/>
        <v>0</v>
      </c>
      <c r="AP138" s="100">
        <f t="shared" si="49"/>
        <v>0</v>
      </c>
      <c r="AQ138" s="100">
        <f t="shared" si="49"/>
        <v>0</v>
      </c>
      <c r="AR138" s="100">
        <f t="shared" si="49"/>
        <v>0</v>
      </c>
      <c r="AS138" s="100">
        <f t="shared" si="49"/>
        <v>0</v>
      </c>
      <c r="AT138" s="100">
        <f>AS143</f>
        <v>0</v>
      </c>
      <c r="AU138" s="100">
        <f t="shared" si="49"/>
        <v>0</v>
      </c>
      <c r="AV138" s="100">
        <f t="shared" si="49"/>
        <v>0</v>
      </c>
      <c r="AW138" s="100">
        <f t="shared" si="49"/>
        <v>0</v>
      </c>
      <c r="AX138" s="100">
        <f t="shared" si="49"/>
        <v>0</v>
      </c>
      <c r="AY138" s="100">
        <f t="shared" si="49"/>
        <v>0</v>
      </c>
      <c r="AZ138" s="100">
        <f t="shared" si="49"/>
        <v>0</v>
      </c>
    </row>
    <row r="139" spans="2:52" ht="20" hidden="1" customHeight="1" outlineLevel="1" x14ac:dyDescent="0.35">
      <c r="B139" s="99" t="s">
        <v>142</v>
      </c>
      <c r="C139" s="100"/>
      <c r="E139" s="42"/>
      <c r="F139" s="100">
        <v>0</v>
      </c>
      <c r="G139" s="100">
        <f>G138*$C$51/4</f>
        <v>0</v>
      </c>
      <c r="H139" s="100">
        <f>H138*$C$51/4</f>
        <v>0</v>
      </c>
      <c r="I139" s="100">
        <f t="shared" ref="I139:AZ139" si="50">I138*$C$51/4</f>
        <v>0</v>
      </c>
      <c r="J139" s="100">
        <f t="shared" si="50"/>
        <v>0</v>
      </c>
      <c r="K139" s="100">
        <f t="shared" si="50"/>
        <v>0</v>
      </c>
      <c r="L139" s="100">
        <f t="shared" si="50"/>
        <v>0</v>
      </c>
      <c r="M139" s="100">
        <f t="shared" si="50"/>
        <v>0</v>
      </c>
      <c r="N139" s="100">
        <f t="shared" si="50"/>
        <v>0</v>
      </c>
      <c r="O139" s="100">
        <f t="shared" si="50"/>
        <v>0</v>
      </c>
      <c r="P139" s="100">
        <f t="shared" si="50"/>
        <v>0</v>
      </c>
      <c r="Q139" s="100">
        <f t="shared" si="50"/>
        <v>0</v>
      </c>
      <c r="R139" s="100">
        <f t="shared" si="50"/>
        <v>0</v>
      </c>
      <c r="S139" s="100">
        <f t="shared" si="50"/>
        <v>0</v>
      </c>
      <c r="T139" s="100">
        <f t="shared" si="50"/>
        <v>0</v>
      </c>
      <c r="U139" s="100">
        <f t="shared" si="50"/>
        <v>0</v>
      </c>
      <c r="V139" s="100">
        <f t="shared" si="50"/>
        <v>0</v>
      </c>
      <c r="W139" s="100">
        <f t="shared" si="50"/>
        <v>0</v>
      </c>
      <c r="X139" s="100">
        <f t="shared" si="50"/>
        <v>0</v>
      </c>
      <c r="Y139" s="100">
        <f t="shared" si="50"/>
        <v>0</v>
      </c>
      <c r="Z139" s="100">
        <f t="shared" si="50"/>
        <v>0</v>
      </c>
      <c r="AA139" s="100">
        <f t="shared" si="50"/>
        <v>0</v>
      </c>
      <c r="AB139" s="100">
        <f t="shared" si="50"/>
        <v>0</v>
      </c>
      <c r="AC139" s="100">
        <f t="shared" si="50"/>
        <v>0</v>
      </c>
      <c r="AD139" s="100">
        <f t="shared" si="50"/>
        <v>0</v>
      </c>
      <c r="AE139" s="100">
        <f t="shared" si="50"/>
        <v>0</v>
      </c>
      <c r="AF139" s="100">
        <f t="shared" si="50"/>
        <v>0</v>
      </c>
      <c r="AG139" s="100">
        <f t="shared" si="50"/>
        <v>0</v>
      </c>
      <c r="AH139" s="100">
        <f t="shared" si="50"/>
        <v>0</v>
      </c>
      <c r="AI139" s="100">
        <f t="shared" si="50"/>
        <v>0</v>
      </c>
      <c r="AJ139" s="100">
        <f t="shared" si="50"/>
        <v>0</v>
      </c>
      <c r="AK139" s="100">
        <f t="shared" si="50"/>
        <v>0</v>
      </c>
      <c r="AL139" s="100">
        <f t="shared" si="50"/>
        <v>0</v>
      </c>
      <c r="AM139" s="100">
        <f t="shared" si="50"/>
        <v>0</v>
      </c>
      <c r="AN139" s="100">
        <f t="shared" si="50"/>
        <v>0</v>
      </c>
      <c r="AO139" s="100">
        <f t="shared" si="50"/>
        <v>0</v>
      </c>
      <c r="AP139" s="100">
        <f t="shared" si="50"/>
        <v>0</v>
      </c>
      <c r="AQ139" s="100">
        <f t="shared" si="50"/>
        <v>0</v>
      </c>
      <c r="AR139" s="100">
        <f t="shared" si="50"/>
        <v>0</v>
      </c>
      <c r="AS139" s="100">
        <f t="shared" si="50"/>
        <v>0</v>
      </c>
      <c r="AT139" s="100">
        <f t="shared" si="50"/>
        <v>0</v>
      </c>
      <c r="AU139" s="100">
        <f t="shared" si="50"/>
        <v>0</v>
      </c>
      <c r="AV139" s="100">
        <f t="shared" si="50"/>
        <v>0</v>
      </c>
      <c r="AW139" s="100">
        <f t="shared" si="50"/>
        <v>0</v>
      </c>
      <c r="AX139" s="100">
        <f t="shared" si="50"/>
        <v>0</v>
      </c>
      <c r="AY139" s="100">
        <f t="shared" si="50"/>
        <v>0</v>
      </c>
      <c r="AZ139" s="100">
        <f t="shared" si="50"/>
        <v>0</v>
      </c>
    </row>
    <row r="140" spans="2:52" ht="20" hidden="1" customHeight="1" outlineLevel="1" x14ac:dyDescent="0.35">
      <c r="B140" s="99" t="s">
        <v>141</v>
      </c>
      <c r="C140" s="100"/>
      <c r="E140" s="42"/>
      <c r="F140" s="100">
        <v>0</v>
      </c>
      <c r="G140" s="100">
        <f t="shared" ref="G140:AZ140" si="51">-G138*$C$51*$C$52/4*G101</f>
        <v>0</v>
      </c>
      <c r="H140" s="100">
        <f t="shared" si="51"/>
        <v>0</v>
      </c>
      <c r="I140" s="100">
        <f t="shared" si="51"/>
        <v>0</v>
      </c>
      <c r="J140" s="100">
        <f t="shared" si="51"/>
        <v>0</v>
      </c>
      <c r="K140" s="100">
        <f t="shared" si="51"/>
        <v>0</v>
      </c>
      <c r="L140" s="100">
        <f t="shared" si="51"/>
        <v>0</v>
      </c>
      <c r="M140" s="100">
        <f t="shared" si="51"/>
        <v>0</v>
      </c>
      <c r="N140" s="100">
        <f t="shared" si="51"/>
        <v>0</v>
      </c>
      <c r="O140" s="100">
        <f t="shared" si="51"/>
        <v>0</v>
      </c>
      <c r="P140" s="100">
        <f t="shared" si="51"/>
        <v>0</v>
      </c>
      <c r="Q140" s="100">
        <f t="shared" si="51"/>
        <v>0</v>
      </c>
      <c r="R140" s="100">
        <f t="shared" si="51"/>
        <v>0</v>
      </c>
      <c r="S140" s="100">
        <f t="shared" si="51"/>
        <v>0</v>
      </c>
      <c r="T140" s="100">
        <f t="shared" si="51"/>
        <v>0</v>
      </c>
      <c r="U140" s="100">
        <f t="shared" si="51"/>
        <v>0</v>
      </c>
      <c r="V140" s="100">
        <f t="shared" si="51"/>
        <v>0</v>
      </c>
      <c r="W140" s="100">
        <f t="shared" si="51"/>
        <v>0</v>
      </c>
      <c r="X140" s="100">
        <f t="shared" si="51"/>
        <v>0</v>
      </c>
      <c r="Y140" s="100">
        <f t="shared" si="51"/>
        <v>0</v>
      </c>
      <c r="Z140" s="100">
        <f t="shared" si="51"/>
        <v>0</v>
      </c>
      <c r="AA140" s="100">
        <f t="shared" si="51"/>
        <v>0</v>
      </c>
      <c r="AB140" s="100">
        <f t="shared" si="51"/>
        <v>0</v>
      </c>
      <c r="AC140" s="100">
        <f t="shared" si="51"/>
        <v>0</v>
      </c>
      <c r="AD140" s="100">
        <f t="shared" si="51"/>
        <v>0</v>
      </c>
      <c r="AE140" s="100">
        <f t="shared" si="51"/>
        <v>0</v>
      </c>
      <c r="AF140" s="100">
        <f t="shared" si="51"/>
        <v>0</v>
      </c>
      <c r="AG140" s="100">
        <f t="shared" si="51"/>
        <v>0</v>
      </c>
      <c r="AH140" s="100">
        <f t="shared" si="51"/>
        <v>0</v>
      </c>
      <c r="AI140" s="100">
        <f t="shared" si="51"/>
        <v>0</v>
      </c>
      <c r="AJ140" s="100">
        <f t="shared" si="51"/>
        <v>0</v>
      </c>
      <c r="AK140" s="100">
        <f t="shared" si="51"/>
        <v>0</v>
      </c>
      <c r="AL140" s="100">
        <f t="shared" si="51"/>
        <v>0</v>
      </c>
      <c r="AM140" s="100">
        <f t="shared" si="51"/>
        <v>0</v>
      </c>
      <c r="AN140" s="100">
        <f t="shared" si="51"/>
        <v>0</v>
      </c>
      <c r="AO140" s="100">
        <f t="shared" si="51"/>
        <v>0</v>
      </c>
      <c r="AP140" s="100">
        <f t="shared" si="51"/>
        <v>0</v>
      </c>
      <c r="AQ140" s="100">
        <f t="shared" si="51"/>
        <v>0</v>
      </c>
      <c r="AR140" s="100">
        <f t="shared" si="51"/>
        <v>0</v>
      </c>
      <c r="AS140" s="100">
        <f t="shared" si="51"/>
        <v>0</v>
      </c>
      <c r="AT140" s="100">
        <f t="shared" si="51"/>
        <v>0</v>
      </c>
      <c r="AU140" s="100">
        <f t="shared" si="51"/>
        <v>0</v>
      </c>
      <c r="AV140" s="100">
        <f t="shared" si="51"/>
        <v>0</v>
      </c>
      <c r="AW140" s="100">
        <f t="shared" si="51"/>
        <v>0</v>
      </c>
      <c r="AX140" s="100">
        <f t="shared" si="51"/>
        <v>0</v>
      </c>
      <c r="AY140" s="100">
        <f t="shared" si="51"/>
        <v>0</v>
      </c>
      <c r="AZ140" s="100">
        <f t="shared" si="51"/>
        <v>0</v>
      </c>
    </row>
    <row r="141" spans="2:52" ht="20" hidden="1" customHeight="1" outlineLevel="1" x14ac:dyDescent="0.35">
      <c r="B141" s="99" t="s">
        <v>143</v>
      </c>
      <c r="C141" s="100"/>
      <c r="E141" s="42"/>
      <c r="F141" s="100">
        <f>$J$8</f>
        <v>0</v>
      </c>
      <c r="G141" s="147">
        <v>0</v>
      </c>
      <c r="H141" s="147">
        <v>0</v>
      </c>
      <c r="I141" s="147">
        <v>0</v>
      </c>
      <c r="J141" s="147">
        <v>0</v>
      </c>
      <c r="K141" s="147">
        <v>0</v>
      </c>
      <c r="L141" s="147">
        <v>0</v>
      </c>
      <c r="M141" s="147">
        <v>0</v>
      </c>
      <c r="N141" s="147">
        <v>0</v>
      </c>
      <c r="O141" s="147">
        <v>0</v>
      </c>
      <c r="P141" s="147">
        <v>0</v>
      </c>
      <c r="Q141" s="147">
        <v>0</v>
      </c>
      <c r="R141" s="147">
        <v>0</v>
      </c>
      <c r="S141" s="147">
        <v>0</v>
      </c>
      <c r="T141" s="147">
        <v>0</v>
      </c>
      <c r="U141" s="147">
        <v>0</v>
      </c>
      <c r="V141" s="147">
        <v>0</v>
      </c>
      <c r="W141" s="147">
        <v>0</v>
      </c>
      <c r="X141" s="147">
        <v>0</v>
      </c>
      <c r="Y141" s="147">
        <v>0</v>
      </c>
      <c r="Z141" s="147">
        <v>0</v>
      </c>
      <c r="AA141" s="147">
        <v>0</v>
      </c>
      <c r="AB141" s="147">
        <v>0</v>
      </c>
      <c r="AC141" s="147">
        <v>0</v>
      </c>
      <c r="AD141" s="147">
        <v>0</v>
      </c>
      <c r="AE141" s="147">
        <v>0</v>
      </c>
      <c r="AF141" s="147">
        <v>0</v>
      </c>
      <c r="AG141" s="147">
        <v>0</v>
      </c>
      <c r="AH141" s="147">
        <v>0</v>
      </c>
      <c r="AI141" s="147">
        <v>0</v>
      </c>
      <c r="AJ141" s="147">
        <v>0</v>
      </c>
      <c r="AK141" s="147">
        <v>0</v>
      </c>
      <c r="AL141" s="147">
        <v>0</v>
      </c>
      <c r="AM141" s="147">
        <v>0</v>
      </c>
      <c r="AN141" s="147">
        <v>0</v>
      </c>
      <c r="AO141" s="147">
        <v>0</v>
      </c>
      <c r="AP141" s="147">
        <v>0</v>
      </c>
      <c r="AQ141" s="147">
        <v>0</v>
      </c>
      <c r="AR141" s="147">
        <v>0</v>
      </c>
      <c r="AS141" s="147">
        <v>0</v>
      </c>
      <c r="AT141" s="147">
        <v>0</v>
      </c>
      <c r="AU141" s="147">
        <v>0</v>
      </c>
      <c r="AV141" s="147">
        <v>0</v>
      </c>
      <c r="AW141" s="147">
        <v>0</v>
      </c>
      <c r="AX141" s="147">
        <v>0</v>
      </c>
      <c r="AY141" s="147">
        <v>0</v>
      </c>
      <c r="AZ141" s="147">
        <v>0</v>
      </c>
    </row>
    <row r="142" spans="2:52" ht="20" hidden="1" customHeight="1" outlineLevel="1" x14ac:dyDescent="0.35">
      <c r="B142" s="99" t="s">
        <v>144</v>
      </c>
      <c r="C142" s="100"/>
      <c r="E142" s="42"/>
      <c r="F142" s="147">
        <v>0</v>
      </c>
      <c r="G142" s="147">
        <v>0</v>
      </c>
      <c r="H142" s="147">
        <v>0</v>
      </c>
      <c r="I142" s="147">
        <v>0</v>
      </c>
      <c r="J142" s="147">
        <v>0</v>
      </c>
      <c r="K142" s="147">
        <v>0</v>
      </c>
      <c r="L142" s="147">
        <v>0</v>
      </c>
      <c r="M142" s="147">
        <v>0</v>
      </c>
      <c r="N142" s="147">
        <v>0</v>
      </c>
      <c r="O142" s="147">
        <v>0</v>
      </c>
      <c r="P142" s="147">
        <v>0</v>
      </c>
      <c r="Q142" s="147">
        <v>0</v>
      </c>
      <c r="R142" s="147">
        <v>0</v>
      </c>
      <c r="S142" s="147">
        <v>0</v>
      </c>
      <c r="T142" s="147">
        <v>0</v>
      </c>
      <c r="U142" s="147">
        <v>0</v>
      </c>
      <c r="V142" s="147">
        <v>0</v>
      </c>
      <c r="W142" s="147">
        <v>0</v>
      </c>
      <c r="X142" s="147">
        <v>0</v>
      </c>
      <c r="Y142" s="147">
        <v>0</v>
      </c>
      <c r="Z142" s="147">
        <v>0</v>
      </c>
      <c r="AA142" s="147">
        <v>0</v>
      </c>
      <c r="AB142" s="147">
        <v>0</v>
      </c>
      <c r="AC142" s="147">
        <v>0</v>
      </c>
      <c r="AD142" s="147">
        <v>0</v>
      </c>
      <c r="AE142" s="147">
        <v>0</v>
      </c>
      <c r="AF142" s="147">
        <v>0</v>
      </c>
      <c r="AG142" s="147">
        <v>0</v>
      </c>
      <c r="AH142" s="147">
        <v>0</v>
      </c>
      <c r="AI142" s="147">
        <v>0</v>
      </c>
      <c r="AJ142" s="147">
        <v>0</v>
      </c>
      <c r="AK142" s="147">
        <v>0</v>
      </c>
      <c r="AL142" s="147">
        <v>0</v>
      </c>
      <c r="AM142" s="147">
        <v>0</v>
      </c>
      <c r="AN142" s="147">
        <v>0</v>
      </c>
      <c r="AO142" s="147">
        <v>0</v>
      </c>
      <c r="AP142" s="147">
        <v>0</v>
      </c>
      <c r="AQ142" s="147">
        <v>0</v>
      </c>
      <c r="AR142" s="147">
        <v>0</v>
      </c>
      <c r="AS142" s="147">
        <v>0</v>
      </c>
      <c r="AT142" s="147">
        <v>0</v>
      </c>
      <c r="AU142" s="147">
        <v>0</v>
      </c>
      <c r="AV142" s="147">
        <v>0</v>
      </c>
      <c r="AW142" s="147">
        <v>0</v>
      </c>
      <c r="AX142" s="147">
        <v>0</v>
      </c>
      <c r="AY142" s="147">
        <v>0</v>
      </c>
      <c r="AZ142" s="147">
        <v>0</v>
      </c>
    </row>
    <row r="143" spans="2:52" ht="20" hidden="1" customHeight="1" outlineLevel="1" x14ac:dyDescent="0.35">
      <c r="B143" s="30" t="s">
        <v>94</v>
      </c>
      <c r="C143" s="100"/>
      <c r="E143" s="42"/>
      <c r="F143" s="100">
        <f>F138+F139+F140+F141+F142</f>
        <v>0</v>
      </c>
      <c r="G143" s="100">
        <f t="shared" ref="G143:K143" si="52">G138+G139+G140+G141+G142</f>
        <v>0</v>
      </c>
      <c r="H143" s="100">
        <f t="shared" si="52"/>
        <v>0</v>
      </c>
      <c r="I143" s="100">
        <f t="shared" si="52"/>
        <v>0</v>
      </c>
      <c r="J143" s="100">
        <f t="shared" si="52"/>
        <v>0</v>
      </c>
      <c r="K143" s="100">
        <f t="shared" si="52"/>
        <v>0</v>
      </c>
      <c r="L143" s="100">
        <f t="shared" ref="L143:AY143" si="53">L138+L139+L140+L141+L142</f>
        <v>0</v>
      </c>
      <c r="M143" s="100">
        <f t="shared" si="53"/>
        <v>0</v>
      </c>
      <c r="N143" s="100">
        <f t="shared" si="53"/>
        <v>0</v>
      </c>
      <c r="O143" s="100">
        <f t="shared" si="53"/>
        <v>0</v>
      </c>
      <c r="P143" s="100">
        <f t="shared" si="53"/>
        <v>0</v>
      </c>
      <c r="Q143" s="100">
        <f t="shared" si="53"/>
        <v>0</v>
      </c>
      <c r="R143" s="100">
        <f t="shared" si="53"/>
        <v>0</v>
      </c>
      <c r="S143" s="100">
        <f t="shared" si="53"/>
        <v>0</v>
      </c>
      <c r="T143" s="100">
        <f t="shared" si="53"/>
        <v>0</v>
      </c>
      <c r="U143" s="100">
        <f t="shared" si="53"/>
        <v>0</v>
      </c>
      <c r="V143" s="100">
        <f t="shared" si="53"/>
        <v>0</v>
      </c>
      <c r="W143" s="100">
        <f t="shared" si="53"/>
        <v>0</v>
      </c>
      <c r="X143" s="100">
        <f t="shared" si="53"/>
        <v>0</v>
      </c>
      <c r="Y143" s="100">
        <f t="shared" si="53"/>
        <v>0</v>
      </c>
      <c r="Z143" s="100">
        <f t="shared" si="53"/>
        <v>0</v>
      </c>
      <c r="AA143" s="100">
        <f t="shared" si="53"/>
        <v>0</v>
      </c>
      <c r="AB143" s="100">
        <f t="shared" si="53"/>
        <v>0</v>
      </c>
      <c r="AC143" s="100">
        <f t="shared" si="53"/>
        <v>0</v>
      </c>
      <c r="AD143" s="100">
        <f t="shared" si="53"/>
        <v>0</v>
      </c>
      <c r="AE143" s="100">
        <f t="shared" si="53"/>
        <v>0</v>
      </c>
      <c r="AF143" s="100">
        <f t="shared" si="53"/>
        <v>0</v>
      </c>
      <c r="AG143" s="100">
        <f t="shared" si="53"/>
        <v>0</v>
      </c>
      <c r="AH143" s="100">
        <f t="shared" si="53"/>
        <v>0</v>
      </c>
      <c r="AI143" s="100">
        <f t="shared" si="53"/>
        <v>0</v>
      </c>
      <c r="AJ143" s="100">
        <f t="shared" si="53"/>
        <v>0</v>
      </c>
      <c r="AK143" s="100">
        <f t="shared" si="53"/>
        <v>0</v>
      </c>
      <c r="AL143" s="100">
        <f t="shared" si="53"/>
        <v>0</v>
      </c>
      <c r="AM143" s="100">
        <f t="shared" si="53"/>
        <v>0</v>
      </c>
      <c r="AN143" s="100">
        <f t="shared" si="53"/>
        <v>0</v>
      </c>
      <c r="AO143" s="100">
        <f t="shared" si="53"/>
        <v>0</v>
      </c>
      <c r="AP143" s="100">
        <f t="shared" si="53"/>
        <v>0</v>
      </c>
      <c r="AQ143" s="100">
        <f t="shared" si="53"/>
        <v>0</v>
      </c>
      <c r="AR143" s="100">
        <f t="shared" si="53"/>
        <v>0</v>
      </c>
      <c r="AS143" s="100">
        <f t="shared" si="53"/>
        <v>0</v>
      </c>
      <c r="AT143" s="100">
        <f>AT138+AT139+AT140+AT141+AT142</f>
        <v>0</v>
      </c>
      <c r="AU143" s="100">
        <f t="shared" si="53"/>
        <v>0</v>
      </c>
      <c r="AV143" s="100">
        <f t="shared" si="53"/>
        <v>0</v>
      </c>
      <c r="AW143" s="100">
        <f t="shared" si="53"/>
        <v>0</v>
      </c>
      <c r="AX143" s="100">
        <f t="shared" si="53"/>
        <v>0</v>
      </c>
      <c r="AY143" s="100">
        <f t="shared" si="53"/>
        <v>0</v>
      </c>
      <c r="AZ143" s="100">
        <f>AZ138+AZ139+AZ140+AZ141+AZ142</f>
        <v>0</v>
      </c>
    </row>
    <row r="144" spans="2:52" ht="20" hidden="1" customHeight="1" outlineLevel="1" x14ac:dyDescent="0.35">
      <c r="B144" s="30"/>
      <c r="C144" s="100"/>
      <c r="E144" s="42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</row>
    <row r="145" spans="2:65" s="132" customFormat="1" ht="20" hidden="1" customHeight="1" outlineLevel="1" x14ac:dyDescent="0.35">
      <c r="B145" s="133" t="s">
        <v>145</v>
      </c>
      <c r="C145" s="134"/>
      <c r="E145" s="135"/>
      <c r="F145" s="134">
        <f>F139+F140</f>
        <v>0</v>
      </c>
      <c r="G145" s="134">
        <f>G139+G140+F145</f>
        <v>0</v>
      </c>
      <c r="H145" s="134">
        <f>H139+H140+G145</f>
        <v>0</v>
      </c>
      <c r="I145" s="134">
        <f>I139+I140+H145</f>
        <v>0</v>
      </c>
      <c r="J145" s="134">
        <f>J139+J140+I145</f>
        <v>0</v>
      </c>
      <c r="K145" s="134">
        <f>K139+K140+J145</f>
        <v>0</v>
      </c>
      <c r="L145" s="134">
        <f t="shared" ref="L145:AY145" si="54">L139+L140+K145</f>
        <v>0</v>
      </c>
      <c r="M145" s="134">
        <f t="shared" si="54"/>
        <v>0</v>
      </c>
      <c r="N145" s="134">
        <f t="shared" si="54"/>
        <v>0</v>
      </c>
      <c r="O145" s="134">
        <f>O139+O140+N145</f>
        <v>0</v>
      </c>
      <c r="P145" s="134">
        <f t="shared" si="54"/>
        <v>0</v>
      </c>
      <c r="Q145" s="134">
        <f t="shared" si="54"/>
        <v>0</v>
      </c>
      <c r="R145" s="134">
        <f t="shared" si="54"/>
        <v>0</v>
      </c>
      <c r="S145" s="134">
        <f t="shared" si="54"/>
        <v>0</v>
      </c>
      <c r="T145" s="134">
        <f t="shared" si="54"/>
        <v>0</v>
      </c>
      <c r="U145" s="134">
        <f t="shared" si="54"/>
        <v>0</v>
      </c>
      <c r="V145" s="134">
        <f t="shared" si="54"/>
        <v>0</v>
      </c>
      <c r="W145" s="134">
        <f t="shared" si="54"/>
        <v>0</v>
      </c>
      <c r="X145" s="134">
        <f t="shared" si="54"/>
        <v>0</v>
      </c>
      <c r="Y145" s="134">
        <f t="shared" si="54"/>
        <v>0</v>
      </c>
      <c r="Z145" s="134">
        <f t="shared" si="54"/>
        <v>0</v>
      </c>
      <c r="AA145" s="134">
        <f t="shared" si="54"/>
        <v>0</v>
      </c>
      <c r="AB145" s="134">
        <f t="shared" si="54"/>
        <v>0</v>
      </c>
      <c r="AC145" s="134">
        <f t="shared" si="54"/>
        <v>0</v>
      </c>
      <c r="AD145" s="134">
        <f t="shared" si="54"/>
        <v>0</v>
      </c>
      <c r="AE145" s="134">
        <f t="shared" si="54"/>
        <v>0</v>
      </c>
      <c r="AF145" s="134">
        <f t="shared" si="54"/>
        <v>0</v>
      </c>
      <c r="AG145" s="134">
        <f t="shared" si="54"/>
        <v>0</v>
      </c>
      <c r="AH145" s="134">
        <f t="shared" si="54"/>
        <v>0</v>
      </c>
      <c r="AI145" s="134">
        <f t="shared" si="54"/>
        <v>0</v>
      </c>
      <c r="AJ145" s="134">
        <f t="shared" si="54"/>
        <v>0</v>
      </c>
      <c r="AK145" s="134">
        <f t="shared" si="54"/>
        <v>0</v>
      </c>
      <c r="AL145" s="134">
        <f t="shared" si="54"/>
        <v>0</v>
      </c>
      <c r="AM145" s="134">
        <f t="shared" si="54"/>
        <v>0</v>
      </c>
      <c r="AN145" s="134">
        <f t="shared" si="54"/>
        <v>0</v>
      </c>
      <c r="AO145" s="134">
        <f t="shared" si="54"/>
        <v>0</v>
      </c>
      <c r="AP145" s="134">
        <f t="shared" si="54"/>
        <v>0</v>
      </c>
      <c r="AQ145" s="134">
        <f t="shared" si="54"/>
        <v>0</v>
      </c>
      <c r="AR145" s="134">
        <f t="shared" si="54"/>
        <v>0</v>
      </c>
      <c r="AS145" s="134">
        <f t="shared" si="54"/>
        <v>0</v>
      </c>
      <c r="AT145" s="134">
        <f>AT139+AT140+AS145</f>
        <v>0</v>
      </c>
      <c r="AU145" s="134">
        <f t="shared" si="54"/>
        <v>0</v>
      </c>
      <c r="AV145" s="134">
        <f t="shared" si="54"/>
        <v>0</v>
      </c>
      <c r="AW145" s="134">
        <f t="shared" si="54"/>
        <v>0</v>
      </c>
      <c r="AX145" s="134">
        <f t="shared" si="54"/>
        <v>0</v>
      </c>
      <c r="AY145" s="134">
        <f t="shared" si="54"/>
        <v>0</v>
      </c>
      <c r="AZ145" s="134">
        <f>AZ139+AZ140+AY145</f>
        <v>0</v>
      </c>
      <c r="BC145" s="236"/>
      <c r="BD145" s="236"/>
      <c r="BE145" s="236"/>
      <c r="BF145" s="236"/>
      <c r="BG145" s="236"/>
      <c r="BH145" s="236"/>
      <c r="BI145" s="236"/>
      <c r="BJ145" s="236"/>
      <c r="BK145" s="236"/>
      <c r="BL145" s="236"/>
      <c r="BM145" s="236"/>
    </row>
    <row r="146" spans="2:65" ht="20" hidden="1" customHeight="1" outlineLevel="1" x14ac:dyDescent="0.35">
      <c r="B146" s="30"/>
      <c r="C146" s="100"/>
      <c r="E146" s="42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</row>
    <row r="147" spans="2:65" s="52" customFormat="1" ht="20" hidden="1" customHeight="1" outlineLevel="1" x14ac:dyDescent="0.35">
      <c r="B147" s="136" t="s">
        <v>146</v>
      </c>
      <c r="C147" s="92"/>
      <c r="D147" s="43"/>
      <c r="E147" s="137"/>
      <c r="F147" s="92">
        <f>-F141</f>
        <v>0</v>
      </c>
      <c r="G147" s="92">
        <f>-G142-G140</f>
        <v>0</v>
      </c>
      <c r="H147" s="92">
        <f>-H142-H140</f>
        <v>0</v>
      </c>
      <c r="I147" s="92">
        <f t="shared" ref="I147:AZ147" si="55">-I142-I140</f>
        <v>0</v>
      </c>
      <c r="J147" s="92">
        <f>-J142-J140</f>
        <v>0</v>
      </c>
      <c r="K147" s="92">
        <f t="shared" si="55"/>
        <v>0</v>
      </c>
      <c r="L147" s="92">
        <f t="shared" si="55"/>
        <v>0</v>
      </c>
      <c r="M147" s="92">
        <f t="shared" si="55"/>
        <v>0</v>
      </c>
      <c r="N147" s="92">
        <f t="shared" si="55"/>
        <v>0</v>
      </c>
      <c r="O147" s="92">
        <f t="shared" si="55"/>
        <v>0</v>
      </c>
      <c r="P147" s="92">
        <f t="shared" si="55"/>
        <v>0</v>
      </c>
      <c r="Q147" s="92">
        <f t="shared" si="55"/>
        <v>0</v>
      </c>
      <c r="R147" s="92">
        <f t="shared" si="55"/>
        <v>0</v>
      </c>
      <c r="S147" s="92">
        <f t="shared" si="55"/>
        <v>0</v>
      </c>
      <c r="T147" s="92">
        <f t="shared" si="55"/>
        <v>0</v>
      </c>
      <c r="U147" s="92">
        <f t="shared" si="55"/>
        <v>0</v>
      </c>
      <c r="V147" s="92">
        <f t="shared" si="55"/>
        <v>0</v>
      </c>
      <c r="W147" s="92">
        <f t="shared" si="55"/>
        <v>0</v>
      </c>
      <c r="X147" s="92">
        <f t="shared" si="55"/>
        <v>0</v>
      </c>
      <c r="Y147" s="92">
        <f t="shared" si="55"/>
        <v>0</v>
      </c>
      <c r="Z147" s="92">
        <f t="shared" si="55"/>
        <v>0</v>
      </c>
      <c r="AA147" s="92">
        <f t="shared" si="55"/>
        <v>0</v>
      </c>
      <c r="AB147" s="92">
        <f t="shared" si="55"/>
        <v>0</v>
      </c>
      <c r="AC147" s="92">
        <f t="shared" si="55"/>
        <v>0</v>
      </c>
      <c r="AD147" s="92">
        <f t="shared" si="55"/>
        <v>0</v>
      </c>
      <c r="AE147" s="92">
        <f t="shared" si="55"/>
        <v>0</v>
      </c>
      <c r="AF147" s="92">
        <f t="shared" si="55"/>
        <v>0</v>
      </c>
      <c r="AG147" s="92">
        <f t="shared" si="55"/>
        <v>0</v>
      </c>
      <c r="AH147" s="92">
        <f t="shared" si="55"/>
        <v>0</v>
      </c>
      <c r="AI147" s="92">
        <f t="shared" si="55"/>
        <v>0</v>
      </c>
      <c r="AJ147" s="92">
        <f t="shared" si="55"/>
        <v>0</v>
      </c>
      <c r="AK147" s="92">
        <f t="shared" si="55"/>
        <v>0</v>
      </c>
      <c r="AL147" s="92">
        <f t="shared" si="55"/>
        <v>0</v>
      </c>
      <c r="AM147" s="92">
        <f t="shared" si="55"/>
        <v>0</v>
      </c>
      <c r="AN147" s="92">
        <f t="shared" si="55"/>
        <v>0</v>
      </c>
      <c r="AO147" s="92">
        <f t="shared" si="55"/>
        <v>0</v>
      </c>
      <c r="AP147" s="92">
        <f t="shared" si="55"/>
        <v>0</v>
      </c>
      <c r="AQ147" s="92">
        <f t="shared" si="55"/>
        <v>0</v>
      </c>
      <c r="AR147" s="92">
        <f t="shared" si="55"/>
        <v>0</v>
      </c>
      <c r="AS147" s="92">
        <f t="shared" si="55"/>
        <v>0</v>
      </c>
      <c r="AT147" s="92">
        <f>-AT142-AT140</f>
        <v>0</v>
      </c>
      <c r="AU147" s="92">
        <f>-AU142-AU140+SUM(AU138:AU141)</f>
        <v>0</v>
      </c>
      <c r="AV147" s="92">
        <f t="shared" si="55"/>
        <v>0</v>
      </c>
      <c r="AW147" s="92">
        <f t="shared" si="55"/>
        <v>0</v>
      </c>
      <c r="AX147" s="92">
        <f t="shared" si="55"/>
        <v>0</v>
      </c>
      <c r="AY147" s="92">
        <f t="shared" si="55"/>
        <v>0</v>
      </c>
      <c r="AZ147" s="92">
        <f t="shared" si="55"/>
        <v>0</v>
      </c>
      <c r="BC147" s="234"/>
      <c r="BD147" s="234"/>
      <c r="BE147" s="234"/>
      <c r="BF147" s="234"/>
      <c r="BG147" s="234"/>
      <c r="BH147" s="234"/>
      <c r="BI147" s="234"/>
      <c r="BJ147" s="234"/>
      <c r="BK147" s="234"/>
      <c r="BL147" s="234"/>
      <c r="BM147" s="234"/>
    </row>
    <row r="148" spans="2:65" ht="20" hidden="1" customHeight="1" outlineLevel="1" x14ac:dyDescent="0.35">
      <c r="B148" s="30"/>
      <c r="C148" s="100"/>
      <c r="E148" s="42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</row>
    <row r="149" spans="2:65" ht="20" hidden="1" customHeight="1" outlineLevel="1" x14ac:dyDescent="0.35">
      <c r="B149" s="141" t="s">
        <v>147</v>
      </c>
      <c r="C149" s="146" t="str">
        <f>IFERROR(XIRR(F147:AU147,F97:AU97),"---")</f>
        <v>---</v>
      </c>
      <c r="E149" s="42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</row>
    <row r="150" spans="2:65" ht="20" hidden="1" customHeight="1" outlineLevel="1" x14ac:dyDescent="0.35">
      <c r="B150" s="141" t="s">
        <v>151</v>
      </c>
      <c r="C150" s="146" t="e">
        <f>-IFERROR(SUM(H140:AU140),"---")/10/F141</f>
        <v>#DIV/0!</v>
      </c>
      <c r="E150" s="42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</row>
    <row r="151" spans="2:65" ht="20" hidden="1" customHeight="1" outlineLevel="1" x14ac:dyDescent="0.35">
      <c r="B151" s="30"/>
      <c r="C151" s="100"/>
      <c r="E151" s="42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</row>
    <row r="152" spans="2:65" ht="20" hidden="1" customHeight="1" outlineLevel="1" x14ac:dyDescent="0.35">
      <c r="B152" s="30"/>
      <c r="C152" s="100"/>
      <c r="E152" s="4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</row>
    <row r="153" spans="2:65" ht="20" hidden="1" customHeight="1" outlineLevel="1" x14ac:dyDescent="0.35">
      <c r="B153" s="141" t="s">
        <v>156</v>
      </c>
      <c r="C153" s="142"/>
      <c r="D153" s="143"/>
      <c r="E153" s="144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</row>
    <row r="154" spans="2:65" ht="20" hidden="1" customHeight="1" outlineLevel="1" x14ac:dyDescent="0.35">
      <c r="B154" s="99"/>
      <c r="C154" s="100"/>
      <c r="E154" s="42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</row>
    <row r="155" spans="2:65" ht="20" hidden="1" customHeight="1" outlineLevel="1" x14ac:dyDescent="0.35">
      <c r="B155" s="30" t="s">
        <v>93</v>
      </c>
      <c r="C155" s="100"/>
      <c r="E155" s="42"/>
      <c r="F155" s="100">
        <v>0</v>
      </c>
      <c r="G155" s="100">
        <f>F160</f>
        <v>50000000</v>
      </c>
      <c r="H155" s="100">
        <f t="shared" ref="H155:AZ155" si="56">G160</f>
        <v>38103272.598360658</v>
      </c>
      <c r="I155" s="100">
        <f t="shared" si="56"/>
        <v>30739434.990266394</v>
      </c>
      <c r="J155" s="100">
        <f>I160</f>
        <v>22915357.531666238</v>
      </c>
      <c r="K155" s="100">
        <f>J160</f>
        <v>16960558.018788818</v>
      </c>
      <c r="L155" s="100">
        <f t="shared" si="56"/>
        <v>0</v>
      </c>
      <c r="M155" s="100">
        <f t="shared" si="56"/>
        <v>0</v>
      </c>
      <c r="N155" s="100">
        <f t="shared" si="56"/>
        <v>0</v>
      </c>
      <c r="O155" s="100">
        <f t="shared" si="56"/>
        <v>0</v>
      </c>
      <c r="P155" s="100">
        <f t="shared" si="56"/>
        <v>0</v>
      </c>
      <c r="Q155" s="100">
        <f t="shared" si="56"/>
        <v>0</v>
      </c>
      <c r="R155" s="100">
        <f t="shared" si="56"/>
        <v>0</v>
      </c>
      <c r="S155" s="100">
        <f t="shared" si="56"/>
        <v>0</v>
      </c>
      <c r="T155" s="100">
        <f t="shared" si="56"/>
        <v>0</v>
      </c>
      <c r="U155" s="100">
        <f t="shared" si="56"/>
        <v>0</v>
      </c>
      <c r="V155" s="100">
        <f t="shared" si="56"/>
        <v>0</v>
      </c>
      <c r="W155" s="100">
        <f t="shared" si="56"/>
        <v>0</v>
      </c>
      <c r="X155" s="100">
        <f t="shared" si="56"/>
        <v>0</v>
      </c>
      <c r="Y155" s="100">
        <f t="shared" si="56"/>
        <v>0</v>
      </c>
      <c r="Z155" s="100">
        <f t="shared" si="56"/>
        <v>0</v>
      </c>
      <c r="AA155" s="100">
        <f t="shared" si="56"/>
        <v>0</v>
      </c>
      <c r="AB155" s="100">
        <f t="shared" si="56"/>
        <v>0</v>
      </c>
      <c r="AC155" s="100">
        <f t="shared" si="56"/>
        <v>0</v>
      </c>
      <c r="AD155" s="100">
        <f t="shared" si="56"/>
        <v>0</v>
      </c>
      <c r="AE155" s="100">
        <f t="shared" si="56"/>
        <v>0</v>
      </c>
      <c r="AF155" s="100">
        <f t="shared" si="56"/>
        <v>0</v>
      </c>
      <c r="AG155" s="100">
        <f t="shared" si="56"/>
        <v>0</v>
      </c>
      <c r="AH155" s="100">
        <f t="shared" si="56"/>
        <v>0</v>
      </c>
      <c r="AI155" s="100">
        <f t="shared" si="56"/>
        <v>0</v>
      </c>
      <c r="AJ155" s="100">
        <f t="shared" si="56"/>
        <v>0</v>
      </c>
      <c r="AK155" s="100">
        <f t="shared" si="56"/>
        <v>0</v>
      </c>
      <c r="AL155" s="100">
        <f t="shared" si="56"/>
        <v>0</v>
      </c>
      <c r="AM155" s="100">
        <f t="shared" si="56"/>
        <v>0</v>
      </c>
      <c r="AN155" s="100">
        <f t="shared" si="56"/>
        <v>0</v>
      </c>
      <c r="AO155" s="100">
        <f t="shared" si="56"/>
        <v>0</v>
      </c>
      <c r="AP155" s="100">
        <f t="shared" si="56"/>
        <v>0</v>
      </c>
      <c r="AQ155" s="100">
        <f t="shared" si="56"/>
        <v>0</v>
      </c>
      <c r="AR155" s="100">
        <f t="shared" si="56"/>
        <v>0</v>
      </c>
      <c r="AS155" s="100">
        <f t="shared" si="56"/>
        <v>0</v>
      </c>
      <c r="AT155" s="100">
        <f t="shared" si="56"/>
        <v>0</v>
      </c>
      <c r="AU155" s="100">
        <f t="shared" si="56"/>
        <v>0</v>
      </c>
      <c r="AV155" s="100">
        <f t="shared" si="56"/>
        <v>0</v>
      </c>
      <c r="AW155" s="100">
        <f t="shared" si="56"/>
        <v>0</v>
      </c>
      <c r="AX155" s="100">
        <f t="shared" si="56"/>
        <v>0</v>
      </c>
      <c r="AY155" s="100">
        <f t="shared" si="56"/>
        <v>0</v>
      </c>
      <c r="AZ155" s="100">
        <f t="shared" si="56"/>
        <v>0</v>
      </c>
    </row>
    <row r="156" spans="2:65" ht="20" hidden="1" customHeight="1" outlineLevel="1" x14ac:dyDescent="0.35">
      <c r="B156" s="99" t="s">
        <v>159</v>
      </c>
      <c r="C156" s="100"/>
      <c r="E156" s="42"/>
      <c r="F156" s="100">
        <v>0</v>
      </c>
      <c r="G156" s="100">
        <f t="shared" ref="G156:AZ156" si="57">G155*$C$57/4</f>
        <v>3125000</v>
      </c>
      <c r="H156" s="100">
        <f t="shared" si="57"/>
        <v>2381454.5373975411</v>
      </c>
      <c r="I156" s="100">
        <f t="shared" si="57"/>
        <v>1921214.6868916496</v>
      </c>
      <c r="J156" s="100">
        <f t="shared" si="57"/>
        <v>1432209.8457291399</v>
      </c>
      <c r="K156" s="100">
        <f t="shared" si="57"/>
        <v>1060034.8761743011</v>
      </c>
      <c r="L156" s="100">
        <f t="shared" si="57"/>
        <v>0</v>
      </c>
      <c r="M156" s="100">
        <f t="shared" si="57"/>
        <v>0</v>
      </c>
      <c r="N156" s="100">
        <f t="shared" si="57"/>
        <v>0</v>
      </c>
      <c r="O156" s="100">
        <f t="shared" si="57"/>
        <v>0</v>
      </c>
      <c r="P156" s="100">
        <f t="shared" si="57"/>
        <v>0</v>
      </c>
      <c r="Q156" s="100">
        <f t="shared" si="57"/>
        <v>0</v>
      </c>
      <c r="R156" s="100">
        <f t="shared" si="57"/>
        <v>0</v>
      </c>
      <c r="S156" s="100">
        <f t="shared" si="57"/>
        <v>0</v>
      </c>
      <c r="T156" s="100">
        <f t="shared" si="57"/>
        <v>0</v>
      </c>
      <c r="U156" s="100">
        <f t="shared" si="57"/>
        <v>0</v>
      </c>
      <c r="V156" s="100">
        <f t="shared" si="57"/>
        <v>0</v>
      </c>
      <c r="W156" s="100">
        <f t="shared" si="57"/>
        <v>0</v>
      </c>
      <c r="X156" s="100">
        <f t="shared" si="57"/>
        <v>0</v>
      </c>
      <c r="Y156" s="100">
        <f t="shared" si="57"/>
        <v>0</v>
      </c>
      <c r="Z156" s="100">
        <f t="shared" si="57"/>
        <v>0</v>
      </c>
      <c r="AA156" s="100">
        <f t="shared" si="57"/>
        <v>0</v>
      </c>
      <c r="AB156" s="100">
        <f t="shared" si="57"/>
        <v>0</v>
      </c>
      <c r="AC156" s="100">
        <f t="shared" si="57"/>
        <v>0</v>
      </c>
      <c r="AD156" s="100">
        <f t="shared" si="57"/>
        <v>0</v>
      </c>
      <c r="AE156" s="100">
        <f t="shared" si="57"/>
        <v>0</v>
      </c>
      <c r="AF156" s="100">
        <f t="shared" si="57"/>
        <v>0</v>
      </c>
      <c r="AG156" s="100">
        <f t="shared" si="57"/>
        <v>0</v>
      </c>
      <c r="AH156" s="100">
        <f t="shared" si="57"/>
        <v>0</v>
      </c>
      <c r="AI156" s="100">
        <f t="shared" si="57"/>
        <v>0</v>
      </c>
      <c r="AJ156" s="100">
        <f t="shared" si="57"/>
        <v>0</v>
      </c>
      <c r="AK156" s="100">
        <f t="shared" si="57"/>
        <v>0</v>
      </c>
      <c r="AL156" s="100">
        <f t="shared" si="57"/>
        <v>0</v>
      </c>
      <c r="AM156" s="100">
        <f t="shared" si="57"/>
        <v>0</v>
      </c>
      <c r="AN156" s="100">
        <f t="shared" si="57"/>
        <v>0</v>
      </c>
      <c r="AO156" s="100">
        <f t="shared" si="57"/>
        <v>0</v>
      </c>
      <c r="AP156" s="100">
        <f t="shared" si="57"/>
        <v>0</v>
      </c>
      <c r="AQ156" s="100">
        <f t="shared" si="57"/>
        <v>0</v>
      </c>
      <c r="AR156" s="100">
        <f t="shared" si="57"/>
        <v>0</v>
      </c>
      <c r="AS156" s="100">
        <f t="shared" si="57"/>
        <v>0</v>
      </c>
      <c r="AT156" s="100">
        <f t="shared" si="57"/>
        <v>0</v>
      </c>
      <c r="AU156" s="100">
        <f t="shared" si="57"/>
        <v>0</v>
      </c>
      <c r="AV156" s="100">
        <f t="shared" si="57"/>
        <v>0</v>
      </c>
      <c r="AW156" s="100">
        <f t="shared" si="57"/>
        <v>0</v>
      </c>
      <c r="AX156" s="100">
        <f t="shared" si="57"/>
        <v>0</v>
      </c>
      <c r="AY156" s="100">
        <f t="shared" si="57"/>
        <v>0</v>
      </c>
      <c r="AZ156" s="100">
        <f t="shared" si="57"/>
        <v>0</v>
      </c>
    </row>
    <row r="157" spans="2:65" ht="20" hidden="1" customHeight="1" outlineLevel="1" x14ac:dyDescent="0.35">
      <c r="B157" s="99" t="s">
        <v>160</v>
      </c>
      <c r="C157" s="100"/>
      <c r="E157" s="42"/>
      <c r="F157" s="100">
        <v>0</v>
      </c>
      <c r="G157" s="147">
        <v>0</v>
      </c>
      <c r="H157" s="147">
        <v>0</v>
      </c>
      <c r="I157" s="147">
        <v>0</v>
      </c>
      <c r="J157" s="147">
        <v>0</v>
      </c>
      <c r="K157" s="147">
        <v>0</v>
      </c>
      <c r="L157" s="147">
        <v>0</v>
      </c>
      <c r="M157" s="147">
        <v>0</v>
      </c>
      <c r="N157" s="147">
        <v>0</v>
      </c>
      <c r="O157" s="147">
        <v>0</v>
      </c>
      <c r="P157" s="147">
        <v>0</v>
      </c>
      <c r="Q157" s="147">
        <v>0</v>
      </c>
      <c r="R157" s="147">
        <v>0</v>
      </c>
      <c r="S157" s="147">
        <v>0</v>
      </c>
      <c r="T157" s="147">
        <v>0</v>
      </c>
      <c r="U157" s="147">
        <v>0</v>
      </c>
      <c r="V157" s="147">
        <v>0</v>
      </c>
      <c r="W157" s="147">
        <v>0</v>
      </c>
      <c r="X157" s="147">
        <v>0</v>
      </c>
      <c r="Y157" s="147">
        <v>0</v>
      </c>
      <c r="Z157" s="147">
        <v>0</v>
      </c>
      <c r="AA157" s="147">
        <v>0</v>
      </c>
      <c r="AB157" s="147">
        <v>0</v>
      </c>
      <c r="AC157" s="147">
        <v>0</v>
      </c>
      <c r="AD157" s="147">
        <v>0</v>
      </c>
      <c r="AE157" s="147">
        <v>0</v>
      </c>
      <c r="AF157" s="147">
        <v>0</v>
      </c>
      <c r="AG157" s="147">
        <v>0</v>
      </c>
      <c r="AH157" s="147">
        <v>0</v>
      </c>
      <c r="AI157" s="147">
        <v>0</v>
      </c>
      <c r="AJ157" s="147">
        <v>0</v>
      </c>
      <c r="AK157" s="147">
        <v>0</v>
      </c>
      <c r="AL157" s="147">
        <v>0</v>
      </c>
      <c r="AM157" s="147">
        <v>0</v>
      </c>
      <c r="AN157" s="147">
        <v>0</v>
      </c>
      <c r="AO157" s="147">
        <v>0</v>
      </c>
      <c r="AP157" s="147">
        <v>0</v>
      </c>
      <c r="AQ157" s="147">
        <v>0</v>
      </c>
      <c r="AR157" s="147">
        <v>0</v>
      </c>
      <c r="AS157" s="147">
        <v>0</v>
      </c>
      <c r="AT157" s="147">
        <v>0</v>
      </c>
      <c r="AU157" s="147">
        <v>0</v>
      </c>
      <c r="AV157" s="147">
        <v>0</v>
      </c>
      <c r="AW157" s="147">
        <v>0</v>
      </c>
      <c r="AX157" s="147">
        <v>0</v>
      </c>
      <c r="AY157" s="147">
        <v>0</v>
      </c>
      <c r="AZ157" s="147">
        <v>0</v>
      </c>
    </row>
    <row r="158" spans="2:65" ht="20" hidden="1" customHeight="1" outlineLevel="1" x14ac:dyDescent="0.35">
      <c r="B158" s="99" t="s">
        <v>143</v>
      </c>
      <c r="C158" s="100"/>
      <c r="E158" s="42"/>
      <c r="F158" s="100">
        <f>$J$7</f>
        <v>50000000</v>
      </c>
      <c r="G158" s="147">
        <v>0</v>
      </c>
      <c r="H158" s="147">
        <v>0</v>
      </c>
      <c r="I158" s="147">
        <v>0</v>
      </c>
      <c r="J158" s="147">
        <v>0</v>
      </c>
      <c r="K158" s="147">
        <v>0</v>
      </c>
      <c r="L158" s="147">
        <v>0</v>
      </c>
      <c r="M158" s="147">
        <v>0</v>
      </c>
      <c r="N158" s="147">
        <v>0</v>
      </c>
      <c r="O158" s="147">
        <v>0</v>
      </c>
      <c r="P158" s="147">
        <v>0</v>
      </c>
      <c r="Q158" s="147">
        <v>0</v>
      </c>
      <c r="R158" s="147">
        <v>0</v>
      </c>
      <c r="S158" s="147">
        <v>0</v>
      </c>
      <c r="T158" s="147">
        <v>0</v>
      </c>
      <c r="U158" s="147">
        <v>0</v>
      </c>
      <c r="V158" s="147">
        <v>0</v>
      </c>
      <c r="W158" s="147">
        <v>0</v>
      </c>
      <c r="X158" s="147">
        <v>0</v>
      </c>
      <c r="Y158" s="147">
        <v>0</v>
      </c>
      <c r="Z158" s="147">
        <v>0</v>
      </c>
      <c r="AA158" s="147">
        <v>0</v>
      </c>
      <c r="AB158" s="147">
        <v>0</v>
      </c>
      <c r="AC158" s="147">
        <v>0</v>
      </c>
      <c r="AD158" s="147">
        <v>0</v>
      </c>
      <c r="AE158" s="147">
        <v>0</v>
      </c>
      <c r="AF158" s="147">
        <v>0</v>
      </c>
      <c r="AG158" s="147">
        <v>0</v>
      </c>
      <c r="AH158" s="147">
        <v>0</v>
      </c>
      <c r="AI158" s="147">
        <v>0</v>
      </c>
      <c r="AJ158" s="147">
        <v>0</v>
      </c>
      <c r="AK158" s="147">
        <v>0</v>
      </c>
      <c r="AL158" s="147">
        <v>0</v>
      </c>
      <c r="AM158" s="147">
        <v>0</v>
      </c>
      <c r="AN158" s="147">
        <v>0</v>
      </c>
      <c r="AO158" s="147">
        <v>0</v>
      </c>
      <c r="AP158" s="147">
        <v>0</v>
      </c>
      <c r="AQ158" s="147">
        <v>0</v>
      </c>
      <c r="AR158" s="147">
        <v>0</v>
      </c>
      <c r="AS158" s="147">
        <v>0</v>
      </c>
      <c r="AT158" s="147">
        <v>0</v>
      </c>
      <c r="AU158" s="147">
        <v>0</v>
      </c>
      <c r="AV158" s="147">
        <v>0</v>
      </c>
      <c r="AW158" s="147">
        <v>0</v>
      </c>
      <c r="AX158" s="147">
        <v>0</v>
      </c>
      <c r="AY158" s="147">
        <v>0</v>
      </c>
      <c r="AZ158" s="147">
        <v>0</v>
      </c>
    </row>
    <row r="159" spans="2:65" ht="20" hidden="1" customHeight="1" outlineLevel="1" x14ac:dyDescent="0.35">
      <c r="B159" s="99" t="s">
        <v>144</v>
      </c>
      <c r="C159" s="100"/>
      <c r="E159" s="42"/>
      <c r="F159" s="100">
        <v>0</v>
      </c>
      <c r="G159" s="100">
        <f>-G203-G204</f>
        <v>-15021727.401639346</v>
      </c>
      <c r="H159" s="100">
        <f t="shared" ref="H159:J159" si="58">-H203-H204</f>
        <v>-9745292.1454918049</v>
      </c>
      <c r="I159" s="100">
        <f t="shared" si="58"/>
        <v>-9745292.1454918049</v>
      </c>
      <c r="J159" s="100">
        <f t="shared" si="58"/>
        <v>-7387009.3586065583</v>
      </c>
      <c r="K159" s="100">
        <f>-K203-K204-SUM(K155:K156)+SUM(K203:K204)</f>
        <v>-18020592.894963119</v>
      </c>
      <c r="L159" s="147">
        <v>0</v>
      </c>
      <c r="M159" s="147">
        <v>0</v>
      </c>
      <c r="N159" s="147">
        <v>0</v>
      </c>
      <c r="O159" s="147">
        <v>0</v>
      </c>
      <c r="P159" s="147">
        <v>0</v>
      </c>
      <c r="Q159" s="147">
        <v>0</v>
      </c>
      <c r="R159" s="147">
        <v>0</v>
      </c>
      <c r="S159" s="147">
        <v>0</v>
      </c>
      <c r="T159" s="147">
        <v>0</v>
      </c>
      <c r="U159" s="147">
        <v>0</v>
      </c>
      <c r="V159" s="147">
        <v>0</v>
      </c>
      <c r="W159" s="147">
        <v>0</v>
      </c>
      <c r="X159" s="147">
        <v>0</v>
      </c>
      <c r="Y159" s="147">
        <v>0</v>
      </c>
      <c r="Z159" s="147">
        <v>0</v>
      </c>
      <c r="AA159" s="147">
        <v>0</v>
      </c>
      <c r="AB159" s="147">
        <v>0</v>
      </c>
      <c r="AC159" s="147">
        <v>0</v>
      </c>
      <c r="AD159" s="147">
        <v>0</v>
      </c>
      <c r="AE159" s="147">
        <v>0</v>
      </c>
      <c r="AF159" s="147">
        <v>0</v>
      </c>
      <c r="AG159" s="147">
        <v>0</v>
      </c>
      <c r="AH159" s="147">
        <v>0</v>
      </c>
      <c r="AI159" s="147">
        <v>0</v>
      </c>
      <c r="AJ159" s="147">
        <v>0</v>
      </c>
      <c r="AK159" s="147">
        <v>0</v>
      </c>
      <c r="AL159" s="147">
        <v>0</v>
      </c>
      <c r="AM159" s="147">
        <v>0</v>
      </c>
      <c r="AN159" s="147">
        <v>0</v>
      </c>
      <c r="AO159" s="147">
        <v>0</v>
      </c>
      <c r="AP159" s="147">
        <v>0</v>
      </c>
      <c r="AQ159" s="147">
        <v>0</v>
      </c>
      <c r="AR159" s="147">
        <v>0</v>
      </c>
      <c r="AS159" s="147">
        <v>0</v>
      </c>
      <c r="AT159" s="147">
        <v>0</v>
      </c>
      <c r="AU159" s="147">
        <v>0</v>
      </c>
      <c r="AV159" s="147">
        <v>0</v>
      </c>
      <c r="AW159" s="147">
        <v>0</v>
      </c>
      <c r="AX159" s="147">
        <v>0</v>
      </c>
      <c r="AY159" s="147">
        <v>0</v>
      </c>
      <c r="AZ159" s="147">
        <v>0</v>
      </c>
    </row>
    <row r="160" spans="2:65" ht="20" hidden="1" customHeight="1" outlineLevel="1" x14ac:dyDescent="0.35">
      <c r="B160" s="30" t="s">
        <v>94</v>
      </c>
      <c r="C160" s="100"/>
      <c r="E160" s="42"/>
      <c r="F160" s="100">
        <f>F155+F156+F157+F158+F159</f>
        <v>50000000</v>
      </c>
      <c r="G160" s="100">
        <f>G155+G156+G157+G158+G159</f>
        <v>38103272.598360658</v>
      </c>
      <c r="H160" s="100">
        <f t="shared" ref="H160:AZ160" si="59">H155+H156+H157+H158+H159</f>
        <v>30739434.990266394</v>
      </c>
      <c r="I160" s="100">
        <f t="shared" si="59"/>
        <v>22915357.531666238</v>
      </c>
      <c r="J160" s="100">
        <f>J155+J156+J157+J158+J159</f>
        <v>16960558.018788818</v>
      </c>
      <c r="K160" s="100">
        <f>K155+K156+K157+K158+K159</f>
        <v>0</v>
      </c>
      <c r="L160" s="100">
        <f>L155+L156+L157+L158+L159</f>
        <v>0</v>
      </c>
      <c r="M160" s="100">
        <f t="shared" si="59"/>
        <v>0</v>
      </c>
      <c r="N160" s="100">
        <f t="shared" si="59"/>
        <v>0</v>
      </c>
      <c r="O160" s="100">
        <f t="shared" si="59"/>
        <v>0</v>
      </c>
      <c r="P160" s="100">
        <f t="shared" si="59"/>
        <v>0</v>
      </c>
      <c r="Q160" s="100">
        <f t="shared" si="59"/>
        <v>0</v>
      </c>
      <c r="R160" s="100">
        <f t="shared" si="59"/>
        <v>0</v>
      </c>
      <c r="S160" s="100">
        <f t="shared" si="59"/>
        <v>0</v>
      </c>
      <c r="T160" s="100">
        <f t="shared" si="59"/>
        <v>0</v>
      </c>
      <c r="U160" s="100">
        <f t="shared" si="59"/>
        <v>0</v>
      </c>
      <c r="V160" s="100">
        <f t="shared" si="59"/>
        <v>0</v>
      </c>
      <c r="W160" s="100">
        <f t="shared" si="59"/>
        <v>0</v>
      </c>
      <c r="X160" s="100">
        <f t="shared" si="59"/>
        <v>0</v>
      </c>
      <c r="Y160" s="100">
        <f t="shared" si="59"/>
        <v>0</v>
      </c>
      <c r="Z160" s="100">
        <f t="shared" si="59"/>
        <v>0</v>
      </c>
      <c r="AA160" s="100">
        <f t="shared" si="59"/>
        <v>0</v>
      </c>
      <c r="AB160" s="100">
        <f t="shared" si="59"/>
        <v>0</v>
      </c>
      <c r="AC160" s="100">
        <f t="shared" si="59"/>
        <v>0</v>
      </c>
      <c r="AD160" s="100">
        <f t="shared" si="59"/>
        <v>0</v>
      </c>
      <c r="AE160" s="100">
        <f t="shared" si="59"/>
        <v>0</v>
      </c>
      <c r="AF160" s="100">
        <f t="shared" si="59"/>
        <v>0</v>
      </c>
      <c r="AG160" s="100">
        <f t="shared" si="59"/>
        <v>0</v>
      </c>
      <c r="AH160" s="100">
        <f t="shared" si="59"/>
        <v>0</v>
      </c>
      <c r="AI160" s="100">
        <f t="shared" si="59"/>
        <v>0</v>
      </c>
      <c r="AJ160" s="100">
        <f t="shared" si="59"/>
        <v>0</v>
      </c>
      <c r="AK160" s="100">
        <f t="shared" si="59"/>
        <v>0</v>
      </c>
      <c r="AL160" s="100">
        <f t="shared" si="59"/>
        <v>0</v>
      </c>
      <c r="AM160" s="100">
        <f t="shared" si="59"/>
        <v>0</v>
      </c>
      <c r="AN160" s="100">
        <f t="shared" si="59"/>
        <v>0</v>
      </c>
      <c r="AO160" s="100">
        <f t="shared" si="59"/>
        <v>0</v>
      </c>
      <c r="AP160" s="100">
        <f t="shared" si="59"/>
        <v>0</v>
      </c>
      <c r="AQ160" s="100">
        <f t="shared" si="59"/>
        <v>0</v>
      </c>
      <c r="AR160" s="100">
        <f t="shared" si="59"/>
        <v>0</v>
      </c>
      <c r="AS160" s="100">
        <f t="shared" si="59"/>
        <v>0</v>
      </c>
      <c r="AT160" s="100">
        <f t="shared" si="59"/>
        <v>0</v>
      </c>
      <c r="AU160" s="100">
        <f t="shared" si="59"/>
        <v>0</v>
      </c>
      <c r="AV160" s="100">
        <f t="shared" si="59"/>
        <v>0</v>
      </c>
      <c r="AW160" s="100">
        <f t="shared" si="59"/>
        <v>0</v>
      </c>
      <c r="AX160" s="100">
        <f t="shared" si="59"/>
        <v>0</v>
      </c>
      <c r="AY160" s="100">
        <f t="shared" si="59"/>
        <v>0</v>
      </c>
      <c r="AZ160" s="100">
        <f t="shared" si="59"/>
        <v>0</v>
      </c>
    </row>
    <row r="161" spans="1:65" ht="20" hidden="1" customHeight="1" outlineLevel="1" x14ac:dyDescent="0.35">
      <c r="B161" s="30"/>
      <c r="C161" s="100"/>
      <c r="E161" s="42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</row>
    <row r="162" spans="1:65" s="132" customFormat="1" ht="20" hidden="1" customHeight="1" outlineLevel="1" x14ac:dyDescent="0.35">
      <c r="B162" s="133" t="s">
        <v>145</v>
      </c>
      <c r="C162" s="134"/>
      <c r="E162" s="135"/>
      <c r="F162" s="134">
        <f>F156+F157</f>
        <v>0</v>
      </c>
      <c r="G162" s="134">
        <f>F162+G156+G157</f>
        <v>3125000</v>
      </c>
      <c r="H162" s="134">
        <f t="shared" ref="H162:AZ162" si="60">G162+H156+H157</f>
        <v>5506454.5373975411</v>
      </c>
      <c r="I162" s="134">
        <f t="shared" si="60"/>
        <v>7427669.224289191</v>
      </c>
      <c r="J162" s="134">
        <f>I162+J156+J157</f>
        <v>8859879.0700183306</v>
      </c>
      <c r="K162" s="134">
        <f>J162+K156+K157</f>
        <v>9919913.9461926315</v>
      </c>
      <c r="L162" s="134">
        <f t="shared" si="60"/>
        <v>9919913.9461926315</v>
      </c>
      <c r="M162" s="134">
        <f t="shared" si="60"/>
        <v>9919913.9461926315</v>
      </c>
      <c r="N162" s="134">
        <f t="shared" si="60"/>
        <v>9919913.9461926315</v>
      </c>
      <c r="O162" s="134">
        <f t="shared" si="60"/>
        <v>9919913.9461926315</v>
      </c>
      <c r="P162" s="134">
        <f t="shared" si="60"/>
        <v>9919913.9461926315</v>
      </c>
      <c r="Q162" s="134">
        <f t="shared" si="60"/>
        <v>9919913.9461926315</v>
      </c>
      <c r="R162" s="134">
        <f t="shared" si="60"/>
        <v>9919913.9461926315</v>
      </c>
      <c r="S162" s="134">
        <f t="shared" si="60"/>
        <v>9919913.9461926315</v>
      </c>
      <c r="T162" s="134">
        <f t="shared" si="60"/>
        <v>9919913.9461926315</v>
      </c>
      <c r="U162" s="134">
        <f t="shared" si="60"/>
        <v>9919913.9461926315</v>
      </c>
      <c r="V162" s="134">
        <f t="shared" si="60"/>
        <v>9919913.9461926315</v>
      </c>
      <c r="W162" s="134">
        <f t="shared" si="60"/>
        <v>9919913.9461926315</v>
      </c>
      <c r="X162" s="134">
        <f t="shared" si="60"/>
        <v>9919913.9461926315</v>
      </c>
      <c r="Y162" s="134">
        <f t="shared" si="60"/>
        <v>9919913.9461926315</v>
      </c>
      <c r="Z162" s="134">
        <f t="shared" si="60"/>
        <v>9919913.9461926315</v>
      </c>
      <c r="AA162" s="134">
        <f t="shared" si="60"/>
        <v>9919913.9461926315</v>
      </c>
      <c r="AB162" s="134">
        <f t="shared" si="60"/>
        <v>9919913.9461926315</v>
      </c>
      <c r="AC162" s="134">
        <f t="shared" si="60"/>
        <v>9919913.9461926315</v>
      </c>
      <c r="AD162" s="134">
        <f t="shared" si="60"/>
        <v>9919913.9461926315</v>
      </c>
      <c r="AE162" s="134">
        <f t="shared" si="60"/>
        <v>9919913.9461926315</v>
      </c>
      <c r="AF162" s="134">
        <f t="shared" si="60"/>
        <v>9919913.9461926315</v>
      </c>
      <c r="AG162" s="134">
        <f t="shared" si="60"/>
        <v>9919913.9461926315</v>
      </c>
      <c r="AH162" s="134">
        <f t="shared" si="60"/>
        <v>9919913.9461926315</v>
      </c>
      <c r="AI162" s="134">
        <f t="shared" si="60"/>
        <v>9919913.9461926315</v>
      </c>
      <c r="AJ162" s="134">
        <f t="shared" si="60"/>
        <v>9919913.9461926315</v>
      </c>
      <c r="AK162" s="134">
        <f t="shared" si="60"/>
        <v>9919913.9461926315</v>
      </c>
      <c r="AL162" s="134">
        <f t="shared" si="60"/>
        <v>9919913.9461926315</v>
      </c>
      <c r="AM162" s="134">
        <f t="shared" si="60"/>
        <v>9919913.9461926315</v>
      </c>
      <c r="AN162" s="134">
        <f t="shared" si="60"/>
        <v>9919913.9461926315</v>
      </c>
      <c r="AO162" s="134">
        <f t="shared" si="60"/>
        <v>9919913.9461926315</v>
      </c>
      <c r="AP162" s="134">
        <f t="shared" si="60"/>
        <v>9919913.9461926315</v>
      </c>
      <c r="AQ162" s="134">
        <f t="shared" si="60"/>
        <v>9919913.9461926315</v>
      </c>
      <c r="AR162" s="134">
        <f t="shared" si="60"/>
        <v>9919913.9461926315</v>
      </c>
      <c r="AS162" s="134">
        <f t="shared" si="60"/>
        <v>9919913.9461926315</v>
      </c>
      <c r="AT162" s="134">
        <f t="shared" si="60"/>
        <v>9919913.9461926315</v>
      </c>
      <c r="AU162" s="134">
        <f t="shared" si="60"/>
        <v>9919913.9461926315</v>
      </c>
      <c r="AV162" s="134">
        <f t="shared" si="60"/>
        <v>9919913.9461926315</v>
      </c>
      <c r="AW162" s="134">
        <f t="shared" si="60"/>
        <v>9919913.9461926315</v>
      </c>
      <c r="AX162" s="134">
        <f t="shared" si="60"/>
        <v>9919913.9461926315</v>
      </c>
      <c r="AY162" s="134">
        <f t="shared" si="60"/>
        <v>9919913.9461926315</v>
      </c>
      <c r="AZ162" s="134">
        <f t="shared" si="60"/>
        <v>9919913.9461926315</v>
      </c>
      <c r="BC162" s="236"/>
      <c r="BD162" s="236"/>
      <c r="BE162" s="236"/>
      <c r="BF162" s="236"/>
      <c r="BG162" s="236"/>
      <c r="BH162" s="236"/>
      <c r="BI162" s="236"/>
      <c r="BJ162" s="236"/>
      <c r="BK162" s="236"/>
      <c r="BL162" s="236"/>
      <c r="BM162" s="236"/>
    </row>
    <row r="163" spans="1:65" ht="20" hidden="1" customHeight="1" outlineLevel="1" x14ac:dyDescent="0.35">
      <c r="B163" s="30"/>
      <c r="C163" s="100"/>
      <c r="E163" s="42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</row>
    <row r="164" spans="1:65" ht="20" customHeight="1" collapsed="1" x14ac:dyDescent="0.35">
      <c r="D164" s="60"/>
      <c r="E164" s="61"/>
      <c r="F164" s="47" t="s">
        <v>3</v>
      </c>
      <c r="G164" s="126"/>
      <c r="H164" s="126"/>
      <c r="I164" s="152"/>
      <c r="J164" s="152"/>
      <c r="K164" s="152"/>
      <c r="L164" s="152"/>
      <c r="M164" s="152"/>
      <c r="N164" s="152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D164" s="237">
        <v>1</v>
      </c>
      <c r="BE164" s="237">
        <f>BD164+1</f>
        <v>2</v>
      </c>
      <c r="BF164" s="237">
        <f t="shared" ref="BF164:BM164" si="61">BE164+1</f>
        <v>3</v>
      </c>
      <c r="BG164" s="237">
        <f t="shared" si="61"/>
        <v>4</v>
      </c>
      <c r="BH164" s="237">
        <f t="shared" si="61"/>
        <v>5</v>
      </c>
      <c r="BI164" s="237">
        <f t="shared" si="61"/>
        <v>6</v>
      </c>
      <c r="BJ164" s="237">
        <f t="shared" si="61"/>
        <v>7</v>
      </c>
      <c r="BK164" s="237">
        <f t="shared" si="61"/>
        <v>8</v>
      </c>
      <c r="BL164" s="237">
        <f t="shared" si="61"/>
        <v>9</v>
      </c>
      <c r="BM164" s="237">
        <f t="shared" si="61"/>
        <v>10</v>
      </c>
    </row>
    <row r="165" spans="1:65" s="29" customFormat="1" ht="20" customHeight="1" x14ac:dyDescent="0.15">
      <c r="A165" s="18"/>
      <c r="B165" s="108" t="s">
        <v>72</v>
      </c>
      <c r="C165" s="109"/>
      <c r="D165" s="110"/>
      <c r="E165" s="111" t="s">
        <v>2</v>
      </c>
      <c r="F165" s="112" t="str">
        <f t="shared" ref="F165:AZ165" si="62">F96&amp;F95</f>
        <v>4 кв.2025</v>
      </c>
      <c r="G165" s="109" t="str">
        <f t="shared" si="62"/>
        <v>1 кв.2026</v>
      </c>
      <c r="H165" s="109" t="str">
        <f t="shared" si="62"/>
        <v>2 кв.2026</v>
      </c>
      <c r="I165" s="109" t="str">
        <f t="shared" si="62"/>
        <v>3 кв.2026</v>
      </c>
      <c r="J165" s="109" t="str">
        <f t="shared" si="62"/>
        <v>4 кв.2026</v>
      </c>
      <c r="K165" s="109" t="str">
        <f t="shared" si="62"/>
        <v>1 кв.2027</v>
      </c>
      <c r="L165" s="109" t="str">
        <f t="shared" si="62"/>
        <v>2 кв.2027</v>
      </c>
      <c r="M165" s="109" t="str">
        <f t="shared" si="62"/>
        <v>3 кв.2027</v>
      </c>
      <c r="N165" s="109" t="str">
        <f t="shared" si="62"/>
        <v>4 кв.2027</v>
      </c>
      <c r="O165" s="109" t="str">
        <f t="shared" si="62"/>
        <v>1 кв.2028</v>
      </c>
      <c r="P165" s="109" t="str">
        <f t="shared" si="62"/>
        <v>2 кв.2028</v>
      </c>
      <c r="Q165" s="109" t="str">
        <f t="shared" si="62"/>
        <v>3 кв.2028</v>
      </c>
      <c r="R165" s="109" t="str">
        <f t="shared" si="62"/>
        <v>4 кв.2028</v>
      </c>
      <c r="S165" s="109" t="str">
        <f t="shared" si="62"/>
        <v>1 кв.2029</v>
      </c>
      <c r="T165" s="109" t="str">
        <f t="shared" si="62"/>
        <v>2 кв.2029</v>
      </c>
      <c r="U165" s="109" t="str">
        <f t="shared" si="62"/>
        <v>3 кв.2029</v>
      </c>
      <c r="V165" s="109" t="str">
        <f t="shared" si="62"/>
        <v>4 кв.2029</v>
      </c>
      <c r="W165" s="109" t="str">
        <f t="shared" si="62"/>
        <v>1 кв.2030</v>
      </c>
      <c r="X165" s="109" t="str">
        <f t="shared" si="62"/>
        <v>2 кв.2030</v>
      </c>
      <c r="Y165" s="109" t="str">
        <f t="shared" si="62"/>
        <v>3 кв.2030</v>
      </c>
      <c r="Z165" s="109" t="str">
        <f t="shared" si="62"/>
        <v>4 кв.2030</v>
      </c>
      <c r="AA165" s="109" t="str">
        <f t="shared" si="62"/>
        <v>1 кв.2031</v>
      </c>
      <c r="AB165" s="109" t="str">
        <f t="shared" si="62"/>
        <v>2 кв.2031</v>
      </c>
      <c r="AC165" s="109" t="str">
        <f t="shared" si="62"/>
        <v>3 кв.2031</v>
      </c>
      <c r="AD165" s="109" t="str">
        <f t="shared" si="62"/>
        <v>4 кв.2031</v>
      </c>
      <c r="AE165" s="109" t="str">
        <f t="shared" si="62"/>
        <v>1 кв.2032</v>
      </c>
      <c r="AF165" s="109" t="str">
        <f t="shared" si="62"/>
        <v>2 кв.2032</v>
      </c>
      <c r="AG165" s="109" t="str">
        <f t="shared" si="62"/>
        <v>3 кв.2032</v>
      </c>
      <c r="AH165" s="109" t="str">
        <f t="shared" si="62"/>
        <v>4 кв.2032</v>
      </c>
      <c r="AI165" s="109" t="str">
        <f t="shared" si="62"/>
        <v>1 кв.2033</v>
      </c>
      <c r="AJ165" s="109" t="str">
        <f t="shared" si="62"/>
        <v>2 кв.2033</v>
      </c>
      <c r="AK165" s="109" t="str">
        <f t="shared" si="62"/>
        <v>3 кв.2033</v>
      </c>
      <c r="AL165" s="109" t="str">
        <f t="shared" si="62"/>
        <v>4 кв.2033</v>
      </c>
      <c r="AM165" s="109" t="str">
        <f t="shared" si="62"/>
        <v>1 кв.2034</v>
      </c>
      <c r="AN165" s="109" t="str">
        <f t="shared" si="62"/>
        <v>2 кв.2034</v>
      </c>
      <c r="AO165" s="109" t="str">
        <f t="shared" si="62"/>
        <v>3 кв.2034</v>
      </c>
      <c r="AP165" s="109" t="str">
        <f t="shared" si="62"/>
        <v>4 кв.2034</v>
      </c>
      <c r="AQ165" s="109" t="str">
        <f t="shared" si="62"/>
        <v>1 кв.2035</v>
      </c>
      <c r="AR165" s="109" t="str">
        <f t="shared" si="62"/>
        <v>2 кв.2035</v>
      </c>
      <c r="AS165" s="109" t="str">
        <f t="shared" si="62"/>
        <v>3 кв.2035</v>
      </c>
      <c r="AT165" s="109" t="str">
        <f t="shared" si="62"/>
        <v>4 кв.2035</v>
      </c>
      <c r="AU165" s="109" t="str">
        <f t="shared" si="62"/>
        <v>1 кв.2036</v>
      </c>
      <c r="AV165" s="109" t="str">
        <f t="shared" si="62"/>
        <v>2 кв.2036</v>
      </c>
      <c r="AW165" s="109" t="str">
        <f t="shared" si="62"/>
        <v>3 кв.2036</v>
      </c>
      <c r="AX165" s="109" t="str">
        <f t="shared" si="62"/>
        <v>4 кв.2036</v>
      </c>
      <c r="AY165" s="109" t="str">
        <f t="shared" si="62"/>
        <v>1 кв.2037</v>
      </c>
      <c r="AZ165" s="109" t="str">
        <f t="shared" si="62"/>
        <v>2 кв.2037</v>
      </c>
      <c r="BC165" s="238" t="s">
        <v>246</v>
      </c>
      <c r="BD165" s="239" t="s">
        <v>48</v>
      </c>
      <c r="BE165" s="239" t="s">
        <v>49</v>
      </c>
      <c r="BF165" s="239" t="s">
        <v>50</v>
      </c>
      <c r="BG165" s="239" t="s">
        <v>192</v>
      </c>
      <c r="BH165" s="239" t="s">
        <v>51</v>
      </c>
      <c r="BI165" s="239" t="s">
        <v>52</v>
      </c>
      <c r="BJ165" s="239" t="s">
        <v>53</v>
      </c>
      <c r="BK165" s="239" t="s">
        <v>54</v>
      </c>
      <c r="BL165" s="239" t="s">
        <v>55</v>
      </c>
      <c r="BM165" s="239" t="s">
        <v>56</v>
      </c>
    </row>
    <row r="166" spans="1:65" ht="20" customHeight="1" outlineLevel="1" x14ac:dyDescent="0.35">
      <c r="C166" s="42"/>
      <c r="E166" s="61"/>
      <c r="F166" s="259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</row>
    <row r="167" spans="1:65" ht="20" customHeight="1" outlineLevel="1" x14ac:dyDescent="0.35">
      <c r="B167" s="11" t="s">
        <v>245</v>
      </c>
      <c r="C167" s="42"/>
      <c r="E167" s="61"/>
      <c r="F167" s="294">
        <v>0</v>
      </c>
      <c r="G167" s="23">
        <f t="shared" ref="G167:AZ167" si="63">G101*(G106+G108)*$C$9*YEARFRAC(F97,G97)</f>
        <v>0</v>
      </c>
      <c r="H167" s="23">
        <f t="shared" si="63"/>
        <v>0</v>
      </c>
      <c r="I167" s="23">
        <f>I101*(I106+I108)*$C$9*YEARFRAC(H97,I97)</f>
        <v>5855256.1475409837</v>
      </c>
      <c r="J167" s="23">
        <f t="shared" si="63"/>
        <v>5855256.1475409837</v>
      </c>
      <c r="K167" s="23">
        <f t="shared" si="63"/>
        <v>5855256.1475409837</v>
      </c>
      <c r="L167" s="23">
        <f t="shared" si="63"/>
        <v>5855256.1475409837</v>
      </c>
      <c r="M167" s="23">
        <f t="shared" si="63"/>
        <v>6440781.7622950831</v>
      </c>
      <c r="N167" s="23">
        <f t="shared" si="63"/>
        <v>6440781.7622950831</v>
      </c>
      <c r="O167" s="23">
        <f t="shared" si="63"/>
        <v>6440781.7622950831</v>
      </c>
      <c r="P167" s="23">
        <f t="shared" si="63"/>
        <v>6440781.7622950831</v>
      </c>
      <c r="Q167" s="23">
        <f t="shared" si="63"/>
        <v>7084859.9385245917</v>
      </c>
      <c r="R167" s="23">
        <f t="shared" si="63"/>
        <v>7084859.9385245917</v>
      </c>
      <c r="S167" s="23">
        <f t="shared" si="63"/>
        <v>7084859.9385245917</v>
      </c>
      <c r="T167" s="23">
        <f t="shared" si="63"/>
        <v>7084859.9385245917</v>
      </c>
      <c r="U167" s="23">
        <f t="shared" si="63"/>
        <v>7793345.9323770516</v>
      </c>
      <c r="V167" s="23">
        <f t="shared" si="63"/>
        <v>7793345.9323770516</v>
      </c>
      <c r="W167" s="23">
        <f t="shared" si="63"/>
        <v>7793345.9323770516</v>
      </c>
      <c r="X167" s="23">
        <f t="shared" si="63"/>
        <v>7793345.9323770516</v>
      </c>
      <c r="Y167" s="23">
        <f t="shared" si="63"/>
        <v>8572680.525614759</v>
      </c>
      <c r="Z167" s="23">
        <f t="shared" si="63"/>
        <v>8572680.525614759</v>
      </c>
      <c r="AA167" s="23">
        <f t="shared" si="63"/>
        <v>8572680.525614759</v>
      </c>
      <c r="AB167" s="23">
        <f t="shared" si="63"/>
        <v>8572680.525614759</v>
      </c>
      <c r="AC167" s="23">
        <f t="shared" si="63"/>
        <v>9429948.5781762339</v>
      </c>
      <c r="AD167" s="23">
        <f t="shared" si="63"/>
        <v>9429948.5781762339</v>
      </c>
      <c r="AE167" s="23">
        <f t="shared" si="63"/>
        <v>9429948.5781762339</v>
      </c>
      <c r="AF167" s="23">
        <f t="shared" si="63"/>
        <v>9429948.5781762339</v>
      </c>
      <c r="AG167" s="23">
        <f t="shared" si="63"/>
        <v>10372943.435993858</v>
      </c>
      <c r="AH167" s="23">
        <f t="shared" si="63"/>
        <v>10372943.435993858</v>
      </c>
      <c r="AI167" s="23">
        <f t="shared" si="63"/>
        <v>10372943.435993858</v>
      </c>
      <c r="AJ167" s="23">
        <f t="shared" si="63"/>
        <v>10372943.435993858</v>
      </c>
      <c r="AK167" s="23">
        <f t="shared" si="63"/>
        <v>11410237.779593248</v>
      </c>
      <c r="AL167" s="23">
        <f t="shared" si="63"/>
        <v>11410237.779593248</v>
      </c>
      <c r="AM167" s="23">
        <f t="shared" si="63"/>
        <v>11410237.779593248</v>
      </c>
      <c r="AN167" s="23">
        <f t="shared" si="63"/>
        <v>11410237.779593248</v>
      </c>
      <c r="AO167" s="23">
        <f t="shared" si="63"/>
        <v>12551261.55755257</v>
      </c>
      <c r="AP167" s="23">
        <f t="shared" si="63"/>
        <v>12551261.55755257</v>
      </c>
      <c r="AQ167" s="23">
        <f t="shared" si="63"/>
        <v>12551261.55755257</v>
      </c>
      <c r="AR167" s="23">
        <f t="shared" si="63"/>
        <v>12551261.55755257</v>
      </c>
      <c r="AS167" s="23">
        <f t="shared" si="63"/>
        <v>13806387.71330783</v>
      </c>
      <c r="AT167" s="23">
        <f t="shared" si="63"/>
        <v>13806387.71330783</v>
      </c>
      <c r="AU167" s="23">
        <f t="shared" si="63"/>
        <v>13806387.71330783</v>
      </c>
      <c r="AV167" s="23">
        <f t="shared" si="63"/>
        <v>13806387.71330783</v>
      </c>
      <c r="AW167" s="23">
        <f t="shared" si="63"/>
        <v>15187026.484638616</v>
      </c>
      <c r="AX167" s="23">
        <f t="shared" si="63"/>
        <v>15187026.484638616</v>
      </c>
      <c r="AY167" s="23">
        <f t="shared" si="63"/>
        <v>15187026.484638616</v>
      </c>
      <c r="AZ167" s="23">
        <f t="shared" si="63"/>
        <v>15187026.484638616</v>
      </c>
      <c r="BC167" s="232" t="str">
        <f>B167</f>
        <v>Базовая аренда</v>
      </c>
      <c r="BD167" s="240">
        <f t="shared" ref="BD167:BM168" si="64">SUMIF($F$98:$AZ$98,BD$164,$F167:$AZ167)</f>
        <v>11710512.295081967</v>
      </c>
      <c r="BE167" s="240">
        <f t="shared" si="64"/>
        <v>24592075.819672134</v>
      </c>
      <c r="BF167" s="240">
        <f t="shared" si="64"/>
        <v>27051283.40163935</v>
      </c>
      <c r="BG167" s="240">
        <f t="shared" si="64"/>
        <v>29756411.741803285</v>
      </c>
      <c r="BH167" s="240">
        <f t="shared" si="64"/>
        <v>32732052.915983625</v>
      </c>
      <c r="BI167" s="240">
        <f t="shared" si="64"/>
        <v>36005258.207581982</v>
      </c>
      <c r="BJ167" s="240">
        <f t="shared" si="64"/>
        <v>39605784.028340183</v>
      </c>
      <c r="BK167" s="240">
        <f t="shared" si="64"/>
        <v>43566362.431174211</v>
      </c>
      <c r="BL167" s="240">
        <f t="shared" si="64"/>
        <v>47922998.674291633</v>
      </c>
      <c r="BM167" s="240">
        <f t="shared" si="64"/>
        <v>52715298.5417208</v>
      </c>
    </row>
    <row r="168" spans="1:65" ht="20" customHeight="1" outlineLevel="1" x14ac:dyDescent="0.35">
      <c r="B168" s="11" t="s">
        <v>193</v>
      </c>
      <c r="C168" s="42"/>
      <c r="E168" s="61"/>
      <c r="F168" s="294">
        <v>0</v>
      </c>
      <c r="G168" s="23">
        <f t="shared" ref="G168:AZ168" si="65">G101*G107*$C$9*YEARFRAC(F97,G97)</f>
        <v>0</v>
      </c>
      <c r="H168" s="23">
        <f t="shared" si="65"/>
        <v>0</v>
      </c>
      <c r="I168" s="23">
        <f t="shared" si="65"/>
        <v>515747.9508196722</v>
      </c>
      <c r="J168" s="23">
        <f t="shared" si="65"/>
        <v>515747.9508196722</v>
      </c>
      <c r="K168" s="23">
        <f t="shared" si="65"/>
        <v>515747.9508196722</v>
      </c>
      <c r="L168" s="23">
        <f t="shared" si="65"/>
        <v>515747.9508196722</v>
      </c>
      <c r="M168" s="23">
        <f t="shared" si="65"/>
        <v>567322.74590163946</v>
      </c>
      <c r="N168" s="23">
        <f t="shared" si="65"/>
        <v>567322.74590163946</v>
      </c>
      <c r="O168" s="23">
        <f t="shared" si="65"/>
        <v>567322.74590163946</v>
      </c>
      <c r="P168" s="23">
        <f t="shared" si="65"/>
        <v>567322.74590163946</v>
      </c>
      <c r="Q168" s="23">
        <f t="shared" si="65"/>
        <v>624055.02049180341</v>
      </c>
      <c r="R168" s="23">
        <f t="shared" si="65"/>
        <v>624055.02049180341</v>
      </c>
      <c r="S168" s="23">
        <f t="shared" si="65"/>
        <v>624055.02049180341</v>
      </c>
      <c r="T168" s="23">
        <f t="shared" si="65"/>
        <v>624055.02049180341</v>
      </c>
      <c r="U168" s="23">
        <f t="shared" si="65"/>
        <v>686460.52254098386</v>
      </c>
      <c r="V168" s="23">
        <f t="shared" si="65"/>
        <v>686460.52254098386</v>
      </c>
      <c r="W168" s="23">
        <f t="shared" si="65"/>
        <v>686460.52254098386</v>
      </c>
      <c r="X168" s="23">
        <f t="shared" si="65"/>
        <v>686460.52254098386</v>
      </c>
      <c r="Y168" s="23">
        <f t="shared" si="65"/>
        <v>755106.57479508244</v>
      </c>
      <c r="Z168" s="23">
        <f t="shared" si="65"/>
        <v>755106.57479508244</v>
      </c>
      <c r="AA168" s="23">
        <f t="shared" si="65"/>
        <v>755106.57479508244</v>
      </c>
      <c r="AB168" s="23">
        <f t="shared" si="65"/>
        <v>755106.57479508244</v>
      </c>
      <c r="AC168" s="23">
        <f t="shared" si="65"/>
        <v>830617.23227459064</v>
      </c>
      <c r="AD168" s="23">
        <f t="shared" si="65"/>
        <v>830617.23227459064</v>
      </c>
      <c r="AE168" s="23">
        <f t="shared" si="65"/>
        <v>830617.23227459064</v>
      </c>
      <c r="AF168" s="23">
        <f t="shared" si="65"/>
        <v>830617.23227459064</v>
      </c>
      <c r="AG168" s="23">
        <f t="shared" si="65"/>
        <v>913678.95550204988</v>
      </c>
      <c r="AH168" s="23">
        <f t="shared" si="65"/>
        <v>913678.95550204988</v>
      </c>
      <c r="AI168" s="23">
        <f t="shared" si="65"/>
        <v>913678.95550204988</v>
      </c>
      <c r="AJ168" s="23">
        <f t="shared" si="65"/>
        <v>913678.95550204988</v>
      </c>
      <c r="AK168" s="23">
        <f t="shared" si="65"/>
        <v>1005046.8510522549</v>
      </c>
      <c r="AL168" s="23">
        <f t="shared" si="65"/>
        <v>1005046.8510522549</v>
      </c>
      <c r="AM168" s="23">
        <f t="shared" si="65"/>
        <v>1005046.8510522549</v>
      </c>
      <c r="AN168" s="23">
        <f t="shared" si="65"/>
        <v>1005046.8510522549</v>
      </c>
      <c r="AO168" s="23">
        <f t="shared" si="65"/>
        <v>1105551.5361574804</v>
      </c>
      <c r="AP168" s="23">
        <f t="shared" si="65"/>
        <v>1105551.5361574804</v>
      </c>
      <c r="AQ168" s="23">
        <f t="shared" si="65"/>
        <v>1105551.5361574804</v>
      </c>
      <c r="AR168" s="23">
        <f t="shared" si="65"/>
        <v>1105551.5361574804</v>
      </c>
      <c r="AS168" s="23">
        <f t="shared" si="65"/>
        <v>1216106.6897732285</v>
      </c>
      <c r="AT168" s="23">
        <f t="shared" si="65"/>
        <v>1216106.6897732285</v>
      </c>
      <c r="AU168" s="23">
        <f t="shared" si="65"/>
        <v>1216106.6897732285</v>
      </c>
      <c r="AV168" s="23">
        <f t="shared" si="65"/>
        <v>1216106.6897732285</v>
      </c>
      <c r="AW168" s="23">
        <f t="shared" si="65"/>
        <v>1337717.3587505515</v>
      </c>
      <c r="AX168" s="23">
        <f t="shared" si="65"/>
        <v>1337717.3587505515</v>
      </c>
      <c r="AY168" s="23">
        <f t="shared" si="65"/>
        <v>1337717.3587505515</v>
      </c>
      <c r="AZ168" s="23">
        <f t="shared" si="65"/>
        <v>1337717.3587505515</v>
      </c>
      <c r="BC168" s="232" t="str">
        <f t="shared" ref="BC168" si="66">B168</f>
        <v>Компенсация операционных расходов</v>
      </c>
      <c r="BD168" s="240">
        <f t="shared" si="64"/>
        <v>1031495.9016393444</v>
      </c>
      <c r="BE168" s="240">
        <f t="shared" si="64"/>
        <v>2166141.3934426233</v>
      </c>
      <c r="BF168" s="240">
        <f t="shared" si="64"/>
        <v>2382755.5327868857</v>
      </c>
      <c r="BG168" s="240">
        <f t="shared" si="64"/>
        <v>2621031.0860655745</v>
      </c>
      <c r="BH168" s="240">
        <f t="shared" si="64"/>
        <v>2883134.1946721328</v>
      </c>
      <c r="BI168" s="240">
        <f t="shared" si="64"/>
        <v>3171447.6141393459</v>
      </c>
      <c r="BJ168" s="240">
        <f t="shared" si="64"/>
        <v>3488592.375553281</v>
      </c>
      <c r="BK168" s="240">
        <f t="shared" si="64"/>
        <v>3837451.6131086093</v>
      </c>
      <c r="BL168" s="240">
        <f t="shared" si="64"/>
        <v>4221196.7744194707</v>
      </c>
      <c r="BM168" s="240">
        <f t="shared" si="64"/>
        <v>4643316.4518614179</v>
      </c>
    </row>
    <row r="169" spans="1:65" ht="20" customHeight="1" x14ac:dyDescent="0.35">
      <c r="C169" s="42"/>
      <c r="E169" s="67"/>
      <c r="F169" s="260"/>
      <c r="G169" s="120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21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</row>
    <row r="170" spans="1:65" ht="20" customHeight="1" x14ac:dyDescent="0.35">
      <c r="B170" s="68" t="s">
        <v>19</v>
      </c>
      <c r="C170" s="55"/>
      <c r="D170" s="69"/>
      <c r="E170" s="44"/>
      <c r="F170" s="261">
        <f t="shared" ref="F170:AZ170" si="67">SUM(F167:F168)</f>
        <v>0</v>
      </c>
      <c r="G170" s="262">
        <f t="shared" si="67"/>
        <v>0</v>
      </c>
      <c r="H170" s="262">
        <f t="shared" si="67"/>
        <v>0</v>
      </c>
      <c r="I170" s="262">
        <f t="shared" si="67"/>
        <v>6371004.0983606558</v>
      </c>
      <c r="J170" s="262">
        <f t="shared" si="67"/>
        <v>6371004.0983606558</v>
      </c>
      <c r="K170" s="262">
        <f t="shared" si="67"/>
        <v>6371004.0983606558</v>
      </c>
      <c r="L170" s="262">
        <f t="shared" si="67"/>
        <v>6371004.0983606558</v>
      </c>
      <c r="M170" s="262">
        <f t="shared" si="67"/>
        <v>7008104.5081967227</v>
      </c>
      <c r="N170" s="262">
        <f t="shared" si="67"/>
        <v>7008104.5081967227</v>
      </c>
      <c r="O170" s="262">
        <f t="shared" si="67"/>
        <v>7008104.5081967227</v>
      </c>
      <c r="P170" s="262">
        <f t="shared" si="67"/>
        <v>7008104.5081967227</v>
      </c>
      <c r="Q170" s="262">
        <f t="shared" si="67"/>
        <v>7708914.9590163948</v>
      </c>
      <c r="R170" s="262">
        <f t="shared" si="67"/>
        <v>7708914.9590163948</v>
      </c>
      <c r="S170" s="262">
        <f t="shared" si="67"/>
        <v>7708914.9590163948</v>
      </c>
      <c r="T170" s="262">
        <f t="shared" si="67"/>
        <v>7708914.9590163948</v>
      </c>
      <c r="U170" s="262">
        <f t="shared" si="67"/>
        <v>8479806.4549180362</v>
      </c>
      <c r="V170" s="262">
        <f t="shared" si="67"/>
        <v>8479806.4549180362</v>
      </c>
      <c r="W170" s="262">
        <f t="shared" si="67"/>
        <v>8479806.4549180362</v>
      </c>
      <c r="X170" s="262">
        <f t="shared" si="67"/>
        <v>8479806.4549180362</v>
      </c>
      <c r="Y170" s="262">
        <f t="shared" si="67"/>
        <v>9327787.1004098412</v>
      </c>
      <c r="Z170" s="262">
        <f t="shared" si="67"/>
        <v>9327787.1004098412</v>
      </c>
      <c r="AA170" s="262">
        <f t="shared" si="67"/>
        <v>9327787.1004098412</v>
      </c>
      <c r="AB170" s="262">
        <f t="shared" si="67"/>
        <v>9327787.1004098412</v>
      </c>
      <c r="AC170" s="262">
        <f t="shared" si="67"/>
        <v>10260565.810450824</v>
      </c>
      <c r="AD170" s="262">
        <f t="shared" si="67"/>
        <v>10260565.810450824</v>
      </c>
      <c r="AE170" s="262">
        <f t="shared" si="67"/>
        <v>10260565.810450824</v>
      </c>
      <c r="AF170" s="262">
        <f t="shared" si="67"/>
        <v>10260565.810450824</v>
      </c>
      <c r="AG170" s="262">
        <f t="shared" si="67"/>
        <v>11286622.391495908</v>
      </c>
      <c r="AH170" s="262">
        <f t="shared" si="67"/>
        <v>11286622.391495908</v>
      </c>
      <c r="AI170" s="262">
        <f t="shared" si="67"/>
        <v>11286622.391495908</v>
      </c>
      <c r="AJ170" s="262">
        <f t="shared" si="67"/>
        <v>11286622.391495908</v>
      </c>
      <c r="AK170" s="262">
        <f t="shared" si="67"/>
        <v>12415284.630645502</v>
      </c>
      <c r="AL170" s="262">
        <f t="shared" si="67"/>
        <v>12415284.630645502</v>
      </c>
      <c r="AM170" s="262">
        <f t="shared" si="67"/>
        <v>12415284.630645502</v>
      </c>
      <c r="AN170" s="262">
        <f t="shared" si="67"/>
        <v>12415284.630645502</v>
      </c>
      <c r="AO170" s="262">
        <f t="shared" si="67"/>
        <v>13656813.09371005</v>
      </c>
      <c r="AP170" s="262">
        <f t="shared" si="67"/>
        <v>13656813.09371005</v>
      </c>
      <c r="AQ170" s="262">
        <f t="shared" si="67"/>
        <v>13656813.09371005</v>
      </c>
      <c r="AR170" s="262">
        <f t="shared" si="67"/>
        <v>13656813.09371005</v>
      </c>
      <c r="AS170" s="262">
        <f t="shared" si="67"/>
        <v>15022494.403081058</v>
      </c>
      <c r="AT170" s="262">
        <f t="shared" si="67"/>
        <v>15022494.403081058</v>
      </c>
      <c r="AU170" s="262">
        <f t="shared" si="67"/>
        <v>15022494.403081058</v>
      </c>
      <c r="AV170" s="262">
        <f t="shared" si="67"/>
        <v>15022494.403081058</v>
      </c>
      <c r="AW170" s="262">
        <f t="shared" si="67"/>
        <v>16524743.843389168</v>
      </c>
      <c r="AX170" s="262">
        <f t="shared" si="67"/>
        <v>16524743.843389168</v>
      </c>
      <c r="AY170" s="262">
        <f t="shared" si="67"/>
        <v>16524743.843389168</v>
      </c>
      <c r="AZ170" s="262">
        <f t="shared" si="67"/>
        <v>16524743.843389168</v>
      </c>
      <c r="BC170" s="241" t="str">
        <f>B170</f>
        <v>Арендная выручка</v>
      </c>
      <c r="BD170" s="242">
        <f t="shared" ref="BD170:BM170" si="68">BD167+BD168</f>
        <v>12742008.196721312</v>
      </c>
      <c r="BE170" s="242">
        <f t="shared" si="68"/>
        <v>26758217.213114757</v>
      </c>
      <c r="BF170" s="242">
        <f t="shared" si="68"/>
        <v>29434038.934426237</v>
      </c>
      <c r="BG170" s="242">
        <f t="shared" si="68"/>
        <v>32377442.82786886</v>
      </c>
      <c r="BH170" s="242">
        <f t="shared" si="68"/>
        <v>35615187.110655755</v>
      </c>
      <c r="BI170" s="242">
        <f t="shared" si="68"/>
        <v>39176705.82172133</v>
      </c>
      <c r="BJ170" s="242">
        <f t="shared" si="68"/>
        <v>43094376.403893463</v>
      </c>
      <c r="BK170" s="242">
        <f t="shared" si="68"/>
        <v>47403814.044282824</v>
      </c>
      <c r="BL170" s="242">
        <f t="shared" si="68"/>
        <v>52144195.448711105</v>
      </c>
      <c r="BM170" s="242">
        <f t="shared" si="68"/>
        <v>57358614.993582219</v>
      </c>
    </row>
    <row r="171" spans="1:65" s="39" customFormat="1" ht="20" customHeight="1" x14ac:dyDescent="0.35">
      <c r="B171" s="309" t="s">
        <v>47</v>
      </c>
      <c r="C171" s="310"/>
      <c r="D171" s="310"/>
      <c r="E171" s="310"/>
      <c r="F171" s="311">
        <f>IFERROR(F170/B170-1,0%)</f>
        <v>0</v>
      </c>
      <c r="G171" s="312">
        <f>IFERROR(G170/C170-1,0%)</f>
        <v>0</v>
      </c>
      <c r="H171" s="312">
        <f>IFERROR(H170/D170-1,0%)</f>
        <v>0</v>
      </c>
      <c r="I171" s="312">
        <f>IFERROR(I170/E170-1,0%)</f>
        <v>0</v>
      </c>
      <c r="J171" s="312">
        <f t="shared" ref="J171:N171" si="69">IFERROR(J170/F170-1,0%)</f>
        <v>0</v>
      </c>
      <c r="K171" s="312">
        <f>IFERROR(K170/G170-1,0%)</f>
        <v>0</v>
      </c>
      <c r="L171" s="312">
        <f t="shared" si="69"/>
        <v>0</v>
      </c>
      <c r="M171" s="312">
        <f t="shared" si="69"/>
        <v>0.10000000000000031</v>
      </c>
      <c r="N171" s="312">
        <f t="shared" si="69"/>
        <v>0.10000000000000031</v>
      </c>
      <c r="O171" s="312">
        <f t="shared" ref="O171:Z171" si="70">IFERROR(O170/K170-1,0%)</f>
        <v>0.10000000000000031</v>
      </c>
      <c r="P171" s="312">
        <f t="shared" si="70"/>
        <v>0.10000000000000031</v>
      </c>
      <c r="Q171" s="312">
        <f t="shared" si="70"/>
        <v>9.9999999999999867E-2</v>
      </c>
      <c r="R171" s="312">
        <f t="shared" si="70"/>
        <v>9.9999999999999867E-2</v>
      </c>
      <c r="S171" s="312">
        <f t="shared" si="70"/>
        <v>9.9999999999999867E-2</v>
      </c>
      <c r="T171" s="312">
        <f t="shared" si="70"/>
        <v>9.9999999999999867E-2</v>
      </c>
      <c r="U171" s="312">
        <f t="shared" si="70"/>
        <v>0.10000000000000031</v>
      </c>
      <c r="V171" s="312">
        <f t="shared" si="70"/>
        <v>0.10000000000000031</v>
      </c>
      <c r="W171" s="312">
        <f t="shared" si="70"/>
        <v>0.10000000000000031</v>
      </c>
      <c r="X171" s="312">
        <f t="shared" si="70"/>
        <v>0.10000000000000031</v>
      </c>
      <c r="Y171" s="312">
        <f t="shared" si="70"/>
        <v>0.10000000000000009</v>
      </c>
      <c r="Z171" s="312">
        <f t="shared" si="70"/>
        <v>0.10000000000000009</v>
      </c>
      <c r="AA171" s="312">
        <f t="shared" ref="AA171:AT171" si="71">IFERROR(AA170/W170-1,0%)</f>
        <v>0.10000000000000009</v>
      </c>
      <c r="AB171" s="312">
        <f t="shared" si="71"/>
        <v>0.10000000000000009</v>
      </c>
      <c r="AC171" s="312">
        <f t="shared" si="71"/>
        <v>9.9999999999999867E-2</v>
      </c>
      <c r="AD171" s="312">
        <f t="shared" si="71"/>
        <v>9.9999999999999867E-2</v>
      </c>
      <c r="AE171" s="312">
        <f t="shared" si="71"/>
        <v>9.9999999999999867E-2</v>
      </c>
      <c r="AF171" s="312">
        <f t="shared" si="71"/>
        <v>9.9999999999999867E-2</v>
      </c>
      <c r="AG171" s="312">
        <f>IFERROR(AG170/AC170-1,0%)</f>
        <v>0.10000000000000009</v>
      </c>
      <c r="AH171" s="312">
        <f>IFERROR(AH170/AD170-1,0%)</f>
        <v>0.10000000000000009</v>
      </c>
      <c r="AI171" s="312">
        <f t="shared" si="71"/>
        <v>0.10000000000000009</v>
      </c>
      <c r="AJ171" s="312">
        <f t="shared" si="71"/>
        <v>0.10000000000000009</v>
      </c>
      <c r="AK171" s="312">
        <f t="shared" si="71"/>
        <v>0.10000000000000031</v>
      </c>
      <c r="AL171" s="312">
        <f t="shared" si="71"/>
        <v>0.10000000000000031</v>
      </c>
      <c r="AM171" s="312">
        <f t="shared" si="71"/>
        <v>0.10000000000000031</v>
      </c>
      <c r="AN171" s="312">
        <f t="shared" si="71"/>
        <v>0.10000000000000031</v>
      </c>
      <c r="AO171" s="312">
        <f t="shared" si="71"/>
        <v>9.9999999999999867E-2</v>
      </c>
      <c r="AP171" s="312">
        <f t="shared" si="71"/>
        <v>9.9999999999999867E-2</v>
      </c>
      <c r="AQ171" s="312">
        <f t="shared" si="71"/>
        <v>9.9999999999999867E-2</v>
      </c>
      <c r="AR171" s="312">
        <f t="shared" si="71"/>
        <v>9.9999999999999867E-2</v>
      </c>
      <c r="AS171" s="312">
        <f t="shared" si="71"/>
        <v>0.10000000000000009</v>
      </c>
      <c r="AT171" s="312">
        <f t="shared" si="71"/>
        <v>0.10000000000000009</v>
      </c>
      <c r="AU171" s="312">
        <f t="shared" ref="AU171" si="72">IFERROR(AU170/AQ170-1,0%)</f>
        <v>0.10000000000000009</v>
      </c>
      <c r="AV171" s="312">
        <f t="shared" ref="AV171" si="73">IFERROR(AV170/AR170-1,0%)</f>
        <v>0.10000000000000009</v>
      </c>
      <c r="AW171" s="312">
        <f t="shared" ref="AW171" si="74">IFERROR(AW170/AS170-1,0%)</f>
        <v>0.10000000000000031</v>
      </c>
      <c r="AX171" s="312">
        <f t="shared" ref="AX171" si="75">IFERROR(AX170/AT170-1,0%)</f>
        <v>0.10000000000000031</v>
      </c>
      <c r="AY171" s="312">
        <f t="shared" ref="AY171" si="76">IFERROR(AY170/AU170-1,0%)</f>
        <v>0.10000000000000031</v>
      </c>
      <c r="AZ171" s="312">
        <f t="shared" ref="AZ171" si="77">IFERROR(AZ170/AV170-1,0%)</f>
        <v>0.10000000000000031</v>
      </c>
      <c r="BC171" s="243" t="s">
        <v>197</v>
      </c>
      <c r="BD171" s="244">
        <v>0</v>
      </c>
      <c r="BE171" s="244">
        <f>BE170/BD170-1</f>
        <v>1.1000000000000001</v>
      </c>
      <c r="BF171" s="244">
        <f t="shared" ref="BF171:BM171" si="78">BF170/BE170-1</f>
        <v>0.10000000000000009</v>
      </c>
      <c r="BG171" s="244">
        <f t="shared" si="78"/>
        <v>0.10000000000000009</v>
      </c>
      <c r="BH171" s="244">
        <f t="shared" si="78"/>
        <v>0.10000000000000031</v>
      </c>
      <c r="BI171" s="244">
        <f t="shared" si="78"/>
        <v>0.10000000000000009</v>
      </c>
      <c r="BJ171" s="244">
        <f t="shared" si="78"/>
        <v>0.10000000000000009</v>
      </c>
      <c r="BK171" s="244">
        <f t="shared" si="78"/>
        <v>0.10000000000000031</v>
      </c>
      <c r="BL171" s="244">
        <f t="shared" si="78"/>
        <v>9.9999999999999867E-2</v>
      </c>
      <c r="BM171" s="244">
        <f t="shared" si="78"/>
        <v>0.10000000000000009</v>
      </c>
    </row>
    <row r="172" spans="1:65" s="65" customFormat="1" ht="20" hidden="1" customHeight="1" outlineLevel="1" x14ac:dyDescent="0.35">
      <c r="A172" s="11"/>
      <c r="B172" s="64"/>
      <c r="D172" s="66"/>
      <c r="E172" s="263"/>
      <c r="F172" s="264"/>
      <c r="G172" s="265"/>
      <c r="H172" s="265"/>
      <c r="I172" s="23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  <c r="AU172" s="265"/>
      <c r="AV172" s="265"/>
      <c r="AW172" s="265"/>
      <c r="AX172" s="265"/>
      <c r="AY172" s="265"/>
      <c r="AZ172" s="265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3"/>
    </row>
    <row r="173" spans="1:65" ht="20" hidden="1" customHeight="1" outlineLevel="2" x14ac:dyDescent="0.35">
      <c r="B173" s="62" t="s">
        <v>84</v>
      </c>
      <c r="C173" s="63"/>
      <c r="D173" s="63"/>
      <c r="E173" s="266">
        <f>$C$12</f>
        <v>118440000.00000001</v>
      </c>
      <c r="F173" s="267">
        <f t="shared" ref="F173:AZ173" si="79">IF(AND(MONTH(F$97)=3,F101=1),E173*(1+$C$72/2),E173)</f>
        <v>118440000.00000001</v>
      </c>
      <c r="G173" s="268">
        <f t="shared" si="79"/>
        <v>118440000.00000001</v>
      </c>
      <c r="H173" s="268">
        <f t="shared" si="79"/>
        <v>118440000.00000001</v>
      </c>
      <c r="I173" s="268">
        <f t="shared" si="79"/>
        <v>118440000.00000001</v>
      </c>
      <c r="J173" s="268">
        <f t="shared" si="79"/>
        <v>118440000.00000001</v>
      </c>
      <c r="K173" s="268">
        <f t="shared" si="79"/>
        <v>121401000</v>
      </c>
      <c r="L173" s="268">
        <f t="shared" si="79"/>
        <v>121401000</v>
      </c>
      <c r="M173" s="268">
        <f t="shared" si="79"/>
        <v>121401000</v>
      </c>
      <c r="N173" s="268">
        <f t="shared" si="79"/>
        <v>121401000</v>
      </c>
      <c r="O173" s="268">
        <f t="shared" si="79"/>
        <v>124436024.99999999</v>
      </c>
      <c r="P173" s="268">
        <f t="shared" si="79"/>
        <v>124436024.99999999</v>
      </c>
      <c r="Q173" s="268">
        <f t="shared" si="79"/>
        <v>124436024.99999999</v>
      </c>
      <c r="R173" s="268">
        <f t="shared" si="79"/>
        <v>124436024.99999999</v>
      </c>
      <c r="S173" s="268">
        <f t="shared" si="79"/>
        <v>127546925.62499997</v>
      </c>
      <c r="T173" s="268">
        <f t="shared" si="79"/>
        <v>127546925.62499997</v>
      </c>
      <c r="U173" s="268">
        <f t="shared" si="79"/>
        <v>127546925.62499997</v>
      </c>
      <c r="V173" s="268">
        <f t="shared" si="79"/>
        <v>127546925.62499997</v>
      </c>
      <c r="W173" s="268">
        <f t="shared" si="79"/>
        <v>130735598.76562496</v>
      </c>
      <c r="X173" s="268">
        <f t="shared" si="79"/>
        <v>130735598.76562496</v>
      </c>
      <c r="Y173" s="268">
        <f t="shared" si="79"/>
        <v>130735598.76562496</v>
      </c>
      <c r="Z173" s="268">
        <f t="shared" si="79"/>
        <v>130735598.76562496</v>
      </c>
      <c r="AA173" s="268">
        <f t="shared" si="79"/>
        <v>134003988.73476557</v>
      </c>
      <c r="AB173" s="268">
        <f t="shared" si="79"/>
        <v>134003988.73476557</v>
      </c>
      <c r="AC173" s="268">
        <f t="shared" si="79"/>
        <v>134003988.73476557</v>
      </c>
      <c r="AD173" s="268">
        <f t="shared" si="79"/>
        <v>134003988.73476557</v>
      </c>
      <c r="AE173" s="268">
        <f t="shared" si="79"/>
        <v>137354088.45313472</v>
      </c>
      <c r="AF173" s="268">
        <f t="shared" si="79"/>
        <v>137354088.45313472</v>
      </c>
      <c r="AG173" s="268">
        <f t="shared" si="79"/>
        <v>137354088.45313472</v>
      </c>
      <c r="AH173" s="268">
        <f t="shared" si="79"/>
        <v>137354088.45313472</v>
      </c>
      <c r="AI173" s="268">
        <f t="shared" si="79"/>
        <v>140787940.66446307</v>
      </c>
      <c r="AJ173" s="268">
        <f t="shared" si="79"/>
        <v>140787940.66446307</v>
      </c>
      <c r="AK173" s="268">
        <f t="shared" si="79"/>
        <v>140787940.66446307</v>
      </c>
      <c r="AL173" s="268">
        <f t="shared" si="79"/>
        <v>140787940.66446307</v>
      </c>
      <c r="AM173" s="268">
        <f t="shared" si="79"/>
        <v>144307639.18107465</v>
      </c>
      <c r="AN173" s="268">
        <f t="shared" si="79"/>
        <v>144307639.18107465</v>
      </c>
      <c r="AO173" s="268">
        <f t="shared" si="79"/>
        <v>144307639.18107465</v>
      </c>
      <c r="AP173" s="268">
        <f t="shared" si="79"/>
        <v>144307639.18107465</v>
      </c>
      <c r="AQ173" s="268">
        <f t="shared" si="79"/>
        <v>147915330.1606015</v>
      </c>
      <c r="AR173" s="268">
        <f t="shared" si="79"/>
        <v>147915330.1606015</v>
      </c>
      <c r="AS173" s="268">
        <f t="shared" si="79"/>
        <v>147915330.1606015</v>
      </c>
      <c r="AT173" s="268">
        <f t="shared" si="79"/>
        <v>147915330.1606015</v>
      </c>
      <c r="AU173" s="268">
        <f t="shared" si="79"/>
        <v>151613213.41461653</v>
      </c>
      <c r="AV173" s="268">
        <f t="shared" si="79"/>
        <v>151613213.41461653</v>
      </c>
      <c r="AW173" s="268">
        <f t="shared" si="79"/>
        <v>151613213.41461653</v>
      </c>
      <c r="AX173" s="268">
        <f t="shared" si="79"/>
        <v>151613213.41461653</v>
      </c>
      <c r="AY173" s="268">
        <f t="shared" si="79"/>
        <v>155403543.74998191</v>
      </c>
      <c r="AZ173" s="268">
        <f t="shared" si="79"/>
        <v>155403543.74998191</v>
      </c>
    </row>
    <row r="174" spans="1:65" s="65" customFormat="1" ht="20" customHeight="1" collapsed="1" x14ac:dyDescent="0.35">
      <c r="A174" s="11"/>
      <c r="B174" s="64"/>
      <c r="D174" s="66"/>
      <c r="E174" s="263"/>
      <c r="F174" s="264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  <c r="AJ174" s="265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  <c r="AU174" s="265"/>
      <c r="AV174" s="265"/>
      <c r="AW174" s="265"/>
      <c r="AX174" s="265"/>
      <c r="AY174" s="265"/>
      <c r="AZ174" s="265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3"/>
    </row>
    <row r="175" spans="1:65" ht="20" customHeight="1" x14ac:dyDescent="0.35">
      <c r="B175" s="70" t="s">
        <v>20</v>
      </c>
      <c r="C175" s="53"/>
      <c r="D175" s="53"/>
      <c r="E175" s="23"/>
      <c r="F175" s="269">
        <f>F176</f>
        <v>0</v>
      </c>
      <c r="G175" s="295">
        <f>-2.2%/4*$N$6</f>
        <v>-1055287.0512295084</v>
      </c>
      <c r="H175" s="295">
        <f t="shared" ref="H175:J175" si="80">-2.2%/4*$N$6</f>
        <v>-1055287.0512295084</v>
      </c>
      <c r="I175" s="295">
        <f t="shared" si="80"/>
        <v>-1055287.0512295084</v>
      </c>
      <c r="J175" s="295">
        <f t="shared" si="80"/>
        <v>-1055287.0512295084</v>
      </c>
      <c r="K175" s="122">
        <f t="shared" ref="K175:AZ175" si="81">-K173/4*$C$36*K101</f>
        <v>-607005</v>
      </c>
      <c r="L175" s="122">
        <f t="shared" si="81"/>
        <v>-607005</v>
      </c>
      <c r="M175" s="122">
        <f t="shared" si="81"/>
        <v>-607005</v>
      </c>
      <c r="N175" s="122">
        <f t="shared" si="81"/>
        <v>-607005</v>
      </c>
      <c r="O175" s="122">
        <f t="shared" si="81"/>
        <v>-622180.12499999988</v>
      </c>
      <c r="P175" s="122">
        <f t="shared" si="81"/>
        <v>-622180.12499999988</v>
      </c>
      <c r="Q175" s="122">
        <f t="shared" si="81"/>
        <v>-622180.12499999988</v>
      </c>
      <c r="R175" s="122">
        <f t="shared" si="81"/>
        <v>-622180.12499999988</v>
      </c>
      <c r="S175" s="122">
        <f t="shared" si="81"/>
        <v>-637734.62812499981</v>
      </c>
      <c r="T175" s="122">
        <f t="shared" si="81"/>
        <v>-637734.62812499981</v>
      </c>
      <c r="U175" s="122">
        <f t="shared" si="81"/>
        <v>-637734.62812499981</v>
      </c>
      <c r="V175" s="122">
        <f t="shared" si="81"/>
        <v>-637734.62812499981</v>
      </c>
      <c r="W175" s="122">
        <f t="shared" si="81"/>
        <v>-653677.99382812483</v>
      </c>
      <c r="X175" s="122">
        <f t="shared" si="81"/>
        <v>-653677.99382812483</v>
      </c>
      <c r="Y175" s="122">
        <f t="shared" si="81"/>
        <v>-653677.99382812483</v>
      </c>
      <c r="Z175" s="122">
        <f t="shared" si="81"/>
        <v>-653677.99382812483</v>
      </c>
      <c r="AA175" s="122">
        <f t="shared" si="81"/>
        <v>-670019.94367382792</v>
      </c>
      <c r="AB175" s="122">
        <f t="shared" si="81"/>
        <v>-670019.94367382792</v>
      </c>
      <c r="AC175" s="122">
        <f t="shared" si="81"/>
        <v>-670019.94367382792</v>
      </c>
      <c r="AD175" s="122">
        <f t="shared" si="81"/>
        <v>-670019.94367382792</v>
      </c>
      <c r="AE175" s="122">
        <f t="shared" si="81"/>
        <v>-686770.44226567354</v>
      </c>
      <c r="AF175" s="122">
        <f t="shared" si="81"/>
        <v>-686770.44226567354</v>
      </c>
      <c r="AG175" s="122">
        <f t="shared" si="81"/>
        <v>-686770.44226567354</v>
      </c>
      <c r="AH175" s="122">
        <f t="shared" si="81"/>
        <v>-686770.44226567354</v>
      </c>
      <c r="AI175" s="122">
        <f t="shared" si="81"/>
        <v>-703939.70332231536</v>
      </c>
      <c r="AJ175" s="122">
        <f t="shared" si="81"/>
        <v>-703939.70332231536</v>
      </c>
      <c r="AK175" s="122">
        <f t="shared" si="81"/>
        <v>-703939.70332231536</v>
      </c>
      <c r="AL175" s="122">
        <f t="shared" si="81"/>
        <v>-703939.70332231536</v>
      </c>
      <c r="AM175" s="122">
        <f t="shared" si="81"/>
        <v>-721538.19590537332</v>
      </c>
      <c r="AN175" s="122">
        <f t="shared" si="81"/>
        <v>-721538.19590537332</v>
      </c>
      <c r="AO175" s="122">
        <f t="shared" si="81"/>
        <v>-721538.19590537332</v>
      </c>
      <c r="AP175" s="122">
        <f t="shared" si="81"/>
        <v>-721538.19590537332</v>
      </c>
      <c r="AQ175" s="122">
        <f t="shared" si="81"/>
        <v>-739576.65080300753</v>
      </c>
      <c r="AR175" s="122">
        <f t="shared" si="81"/>
        <v>-739576.65080300753</v>
      </c>
      <c r="AS175" s="122">
        <f t="shared" si="81"/>
        <v>-739576.65080300753</v>
      </c>
      <c r="AT175" s="122">
        <f t="shared" si="81"/>
        <v>-739576.65080300753</v>
      </c>
      <c r="AU175" s="122">
        <f t="shared" si="81"/>
        <v>-758066.06707308267</v>
      </c>
      <c r="AV175" s="122">
        <f t="shared" si="81"/>
        <v>-758066.06707308267</v>
      </c>
      <c r="AW175" s="122">
        <f t="shared" si="81"/>
        <v>-758066.06707308267</v>
      </c>
      <c r="AX175" s="122">
        <f t="shared" si="81"/>
        <v>-758066.06707308267</v>
      </c>
      <c r="AY175" s="122">
        <f t="shared" si="81"/>
        <v>-777017.71874990955</v>
      </c>
      <c r="AZ175" s="122">
        <f t="shared" si="81"/>
        <v>-777017.71874990955</v>
      </c>
      <c r="BC175" s="245" t="str">
        <f>B175</f>
        <v>Налог на недвижимость</v>
      </c>
      <c r="BD175" s="235">
        <f t="shared" ref="BD175:BM177" si="82">SUMIF($F$98:$AZ$98,BD$164,$F175:$AZ175)</f>
        <v>-4221148.2049180334</v>
      </c>
      <c r="BE175" s="235">
        <f t="shared" si="82"/>
        <v>-2428020</v>
      </c>
      <c r="BF175" s="235">
        <f t="shared" si="82"/>
        <v>-2488720.4999999995</v>
      </c>
      <c r="BG175" s="235">
        <f t="shared" si="82"/>
        <v>-2550938.5124999993</v>
      </c>
      <c r="BH175" s="235">
        <f t="shared" si="82"/>
        <v>-2614711.9753124993</v>
      </c>
      <c r="BI175" s="235">
        <f t="shared" si="82"/>
        <v>-2680079.7746953117</v>
      </c>
      <c r="BJ175" s="235">
        <f t="shared" si="82"/>
        <v>-2747081.7690626942</v>
      </c>
      <c r="BK175" s="235">
        <f t="shared" si="82"/>
        <v>-2815758.8132892614</v>
      </c>
      <c r="BL175" s="235">
        <f t="shared" si="82"/>
        <v>-2886152.7836214933</v>
      </c>
      <c r="BM175" s="235">
        <f t="shared" si="82"/>
        <v>-2958306.6032120301</v>
      </c>
    </row>
    <row r="176" spans="1:65" ht="20" hidden="1" customHeight="1" outlineLevel="1" x14ac:dyDescent="0.35">
      <c r="B176" s="70" t="s">
        <v>69</v>
      </c>
      <c r="C176" s="53"/>
      <c r="D176" s="97"/>
      <c r="E176" s="266">
        <f>$C$35/4</f>
        <v>0</v>
      </c>
      <c r="F176" s="269">
        <v>0</v>
      </c>
      <c r="G176" s="122">
        <f>-$E$176*G173/F173*G101</f>
        <v>0</v>
      </c>
      <c r="H176" s="122">
        <f t="shared" ref="H176:AZ176" si="83">-$E$176*H173/$G$173*H101</f>
        <v>0</v>
      </c>
      <c r="I176" s="122">
        <f t="shared" si="83"/>
        <v>0</v>
      </c>
      <c r="J176" s="122">
        <f t="shared" si="83"/>
        <v>0</v>
      </c>
      <c r="K176" s="122">
        <f t="shared" si="83"/>
        <v>0</v>
      </c>
      <c r="L176" s="122">
        <f t="shared" si="83"/>
        <v>0</v>
      </c>
      <c r="M176" s="122">
        <f t="shared" si="83"/>
        <v>0</v>
      </c>
      <c r="N176" s="122">
        <f t="shared" si="83"/>
        <v>0</v>
      </c>
      <c r="O176" s="122">
        <f t="shared" si="83"/>
        <v>0</v>
      </c>
      <c r="P176" s="122">
        <f t="shared" si="83"/>
        <v>0</v>
      </c>
      <c r="Q176" s="122">
        <f t="shared" si="83"/>
        <v>0</v>
      </c>
      <c r="R176" s="122">
        <f t="shared" si="83"/>
        <v>0</v>
      </c>
      <c r="S176" s="122">
        <f t="shared" si="83"/>
        <v>0</v>
      </c>
      <c r="T176" s="122">
        <f t="shared" si="83"/>
        <v>0</v>
      </c>
      <c r="U176" s="122">
        <f t="shared" si="83"/>
        <v>0</v>
      </c>
      <c r="V176" s="122">
        <f t="shared" si="83"/>
        <v>0</v>
      </c>
      <c r="W176" s="122">
        <f t="shared" si="83"/>
        <v>0</v>
      </c>
      <c r="X176" s="122">
        <f t="shared" si="83"/>
        <v>0</v>
      </c>
      <c r="Y176" s="122">
        <f t="shared" si="83"/>
        <v>0</v>
      </c>
      <c r="Z176" s="122">
        <f t="shared" si="83"/>
        <v>0</v>
      </c>
      <c r="AA176" s="122">
        <f t="shared" si="83"/>
        <v>0</v>
      </c>
      <c r="AB176" s="122">
        <f t="shared" si="83"/>
        <v>0</v>
      </c>
      <c r="AC176" s="122">
        <f t="shared" si="83"/>
        <v>0</v>
      </c>
      <c r="AD176" s="122">
        <f t="shared" si="83"/>
        <v>0</v>
      </c>
      <c r="AE176" s="122">
        <f t="shared" si="83"/>
        <v>0</v>
      </c>
      <c r="AF176" s="122">
        <f t="shared" si="83"/>
        <v>0</v>
      </c>
      <c r="AG176" s="122">
        <f t="shared" si="83"/>
        <v>0</v>
      </c>
      <c r="AH176" s="122">
        <f t="shared" si="83"/>
        <v>0</v>
      </c>
      <c r="AI176" s="122">
        <f t="shared" si="83"/>
        <v>0</v>
      </c>
      <c r="AJ176" s="122">
        <f t="shared" si="83"/>
        <v>0</v>
      </c>
      <c r="AK176" s="122">
        <f t="shared" si="83"/>
        <v>0</v>
      </c>
      <c r="AL176" s="122">
        <f t="shared" si="83"/>
        <v>0</v>
      </c>
      <c r="AM176" s="122">
        <f t="shared" si="83"/>
        <v>0</v>
      </c>
      <c r="AN176" s="122">
        <f t="shared" si="83"/>
        <v>0</v>
      </c>
      <c r="AO176" s="122">
        <f t="shared" si="83"/>
        <v>0</v>
      </c>
      <c r="AP176" s="122">
        <f t="shared" si="83"/>
        <v>0</v>
      </c>
      <c r="AQ176" s="122">
        <f t="shared" si="83"/>
        <v>0</v>
      </c>
      <c r="AR176" s="122">
        <f t="shared" si="83"/>
        <v>0</v>
      </c>
      <c r="AS176" s="122">
        <f t="shared" si="83"/>
        <v>0</v>
      </c>
      <c r="AT176" s="122">
        <f t="shared" si="83"/>
        <v>0</v>
      </c>
      <c r="AU176" s="122">
        <f t="shared" si="83"/>
        <v>0</v>
      </c>
      <c r="AV176" s="122">
        <f t="shared" si="83"/>
        <v>0</v>
      </c>
      <c r="AW176" s="122">
        <f t="shared" si="83"/>
        <v>0</v>
      </c>
      <c r="AX176" s="122">
        <f t="shared" si="83"/>
        <v>0</v>
      </c>
      <c r="AY176" s="122">
        <f t="shared" si="83"/>
        <v>0</v>
      </c>
      <c r="AZ176" s="122">
        <f t="shared" si="83"/>
        <v>0</v>
      </c>
      <c r="BC176" s="245" t="str">
        <f t="shared" ref="BC176:BC177" si="84">B176</f>
        <v>Налог на землю</v>
      </c>
      <c r="BD176" s="235">
        <f t="shared" si="82"/>
        <v>0</v>
      </c>
      <c r="BE176" s="235">
        <f t="shared" si="82"/>
        <v>0</v>
      </c>
      <c r="BF176" s="235">
        <f t="shared" si="82"/>
        <v>0</v>
      </c>
      <c r="BG176" s="235">
        <f t="shared" si="82"/>
        <v>0</v>
      </c>
      <c r="BH176" s="235">
        <f t="shared" si="82"/>
        <v>0</v>
      </c>
      <c r="BI176" s="235">
        <f t="shared" si="82"/>
        <v>0</v>
      </c>
      <c r="BJ176" s="235">
        <f t="shared" si="82"/>
        <v>0</v>
      </c>
      <c r="BK176" s="235">
        <f t="shared" si="82"/>
        <v>0</v>
      </c>
      <c r="BL176" s="235">
        <f t="shared" si="82"/>
        <v>0</v>
      </c>
      <c r="BM176" s="235">
        <f t="shared" si="82"/>
        <v>0</v>
      </c>
    </row>
    <row r="177" spans="1:65" ht="20" customHeight="1" collapsed="1" x14ac:dyDescent="0.35">
      <c r="B177" s="70" t="s">
        <v>40</v>
      </c>
      <c r="C177" s="53"/>
      <c r="D177" s="53"/>
      <c r="E177" s="53"/>
      <c r="F177" s="269">
        <v>0</v>
      </c>
      <c r="G177" s="122">
        <f t="shared" ref="G177:AZ177" si="85">-G168</f>
        <v>0</v>
      </c>
      <c r="H177" s="122">
        <f t="shared" si="85"/>
        <v>0</v>
      </c>
      <c r="I177" s="122">
        <f t="shared" si="85"/>
        <v>-515747.9508196722</v>
      </c>
      <c r="J177" s="122">
        <f t="shared" si="85"/>
        <v>-515747.9508196722</v>
      </c>
      <c r="K177" s="122">
        <f t="shared" si="85"/>
        <v>-515747.9508196722</v>
      </c>
      <c r="L177" s="122">
        <f t="shared" si="85"/>
        <v>-515747.9508196722</v>
      </c>
      <c r="M177" s="122">
        <f t="shared" si="85"/>
        <v>-567322.74590163946</v>
      </c>
      <c r="N177" s="122">
        <f t="shared" si="85"/>
        <v>-567322.74590163946</v>
      </c>
      <c r="O177" s="122">
        <f t="shared" si="85"/>
        <v>-567322.74590163946</v>
      </c>
      <c r="P177" s="122">
        <f t="shared" si="85"/>
        <v>-567322.74590163946</v>
      </c>
      <c r="Q177" s="122">
        <f t="shared" si="85"/>
        <v>-624055.02049180341</v>
      </c>
      <c r="R177" s="122">
        <f t="shared" si="85"/>
        <v>-624055.02049180341</v>
      </c>
      <c r="S177" s="122">
        <f t="shared" si="85"/>
        <v>-624055.02049180341</v>
      </c>
      <c r="T177" s="122">
        <f t="shared" si="85"/>
        <v>-624055.02049180341</v>
      </c>
      <c r="U177" s="122">
        <f t="shared" si="85"/>
        <v>-686460.52254098386</v>
      </c>
      <c r="V177" s="122">
        <f t="shared" si="85"/>
        <v>-686460.52254098386</v>
      </c>
      <c r="W177" s="122">
        <f t="shared" si="85"/>
        <v>-686460.52254098386</v>
      </c>
      <c r="X177" s="122">
        <f t="shared" si="85"/>
        <v>-686460.52254098386</v>
      </c>
      <c r="Y177" s="122">
        <f t="shared" si="85"/>
        <v>-755106.57479508244</v>
      </c>
      <c r="Z177" s="122">
        <f t="shared" si="85"/>
        <v>-755106.57479508244</v>
      </c>
      <c r="AA177" s="122">
        <f t="shared" si="85"/>
        <v>-755106.57479508244</v>
      </c>
      <c r="AB177" s="122">
        <f t="shared" si="85"/>
        <v>-755106.57479508244</v>
      </c>
      <c r="AC177" s="122">
        <f t="shared" si="85"/>
        <v>-830617.23227459064</v>
      </c>
      <c r="AD177" s="122">
        <f t="shared" si="85"/>
        <v>-830617.23227459064</v>
      </c>
      <c r="AE177" s="122">
        <f t="shared" si="85"/>
        <v>-830617.23227459064</v>
      </c>
      <c r="AF177" s="122">
        <f t="shared" si="85"/>
        <v>-830617.23227459064</v>
      </c>
      <c r="AG177" s="122">
        <f t="shared" si="85"/>
        <v>-913678.95550204988</v>
      </c>
      <c r="AH177" s="122">
        <f t="shared" si="85"/>
        <v>-913678.95550204988</v>
      </c>
      <c r="AI177" s="122">
        <f t="shared" si="85"/>
        <v>-913678.95550204988</v>
      </c>
      <c r="AJ177" s="122">
        <f t="shared" si="85"/>
        <v>-913678.95550204988</v>
      </c>
      <c r="AK177" s="122">
        <f t="shared" si="85"/>
        <v>-1005046.8510522549</v>
      </c>
      <c r="AL177" s="122">
        <f t="shared" si="85"/>
        <v>-1005046.8510522549</v>
      </c>
      <c r="AM177" s="122">
        <f t="shared" si="85"/>
        <v>-1005046.8510522549</v>
      </c>
      <c r="AN177" s="122">
        <f t="shared" si="85"/>
        <v>-1005046.8510522549</v>
      </c>
      <c r="AO177" s="122">
        <f t="shared" si="85"/>
        <v>-1105551.5361574804</v>
      </c>
      <c r="AP177" s="122">
        <f t="shared" si="85"/>
        <v>-1105551.5361574804</v>
      </c>
      <c r="AQ177" s="122">
        <f t="shared" si="85"/>
        <v>-1105551.5361574804</v>
      </c>
      <c r="AR177" s="122">
        <f t="shared" si="85"/>
        <v>-1105551.5361574804</v>
      </c>
      <c r="AS177" s="122">
        <f t="shared" si="85"/>
        <v>-1216106.6897732285</v>
      </c>
      <c r="AT177" s="122">
        <f t="shared" si="85"/>
        <v>-1216106.6897732285</v>
      </c>
      <c r="AU177" s="122">
        <f t="shared" si="85"/>
        <v>-1216106.6897732285</v>
      </c>
      <c r="AV177" s="122">
        <f t="shared" si="85"/>
        <v>-1216106.6897732285</v>
      </c>
      <c r="AW177" s="122">
        <f t="shared" si="85"/>
        <v>-1337717.3587505515</v>
      </c>
      <c r="AX177" s="122">
        <f t="shared" si="85"/>
        <v>-1337717.3587505515</v>
      </c>
      <c r="AY177" s="122">
        <f t="shared" si="85"/>
        <v>-1337717.3587505515</v>
      </c>
      <c r="AZ177" s="122">
        <f t="shared" si="85"/>
        <v>-1337717.3587505515</v>
      </c>
      <c r="BC177" s="245" t="str">
        <f t="shared" si="84"/>
        <v xml:space="preserve">Эксплуатация </v>
      </c>
      <c r="BD177" s="235">
        <f t="shared" si="82"/>
        <v>-1031495.9016393444</v>
      </c>
      <c r="BE177" s="235">
        <f t="shared" si="82"/>
        <v>-2166141.3934426233</v>
      </c>
      <c r="BF177" s="235">
        <f t="shared" si="82"/>
        <v>-2382755.5327868857</v>
      </c>
      <c r="BG177" s="235">
        <f t="shared" si="82"/>
        <v>-2621031.0860655745</v>
      </c>
      <c r="BH177" s="235">
        <f t="shared" si="82"/>
        <v>-2883134.1946721328</v>
      </c>
      <c r="BI177" s="235">
        <f t="shared" si="82"/>
        <v>-3171447.6141393459</v>
      </c>
      <c r="BJ177" s="235">
        <f t="shared" si="82"/>
        <v>-3488592.375553281</v>
      </c>
      <c r="BK177" s="235">
        <f t="shared" si="82"/>
        <v>-3837451.6131086093</v>
      </c>
      <c r="BL177" s="235">
        <f t="shared" si="82"/>
        <v>-4221196.7744194707</v>
      </c>
      <c r="BM177" s="235">
        <f t="shared" si="82"/>
        <v>-4643316.4518614179</v>
      </c>
    </row>
    <row r="178" spans="1:65" ht="20" customHeight="1" x14ac:dyDescent="0.35">
      <c r="B178" s="70"/>
      <c r="C178" s="53"/>
      <c r="D178" s="53"/>
      <c r="E178" s="53"/>
      <c r="F178" s="269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</row>
    <row r="179" spans="1:65" ht="20" customHeight="1" x14ac:dyDescent="0.35">
      <c r="B179" s="68" t="s">
        <v>21</v>
      </c>
      <c r="C179" s="55"/>
      <c r="D179" s="69"/>
      <c r="E179" s="55"/>
      <c r="F179" s="261">
        <v>0</v>
      </c>
      <c r="G179" s="270">
        <f>SUM(G170,G175,G176,G177)</f>
        <v>-1055287.0512295084</v>
      </c>
      <c r="H179" s="270">
        <f>SUM(H170,H175,H176,H177)</f>
        <v>-1055287.0512295084</v>
      </c>
      <c r="I179" s="270">
        <f>SUM(I170,I175,I176,I177)</f>
        <v>4799969.0963114752</v>
      </c>
      <c r="J179" s="270">
        <f>SUM(J170,J175,J176,J177)</f>
        <v>4799969.0963114752</v>
      </c>
      <c r="K179" s="270">
        <f t="shared" ref="K179:AT179" si="86">SUM(K170,K175,K176,K177)</f>
        <v>5248251.1475409837</v>
      </c>
      <c r="L179" s="270">
        <f t="shared" si="86"/>
        <v>5248251.1475409837</v>
      </c>
      <c r="M179" s="270">
        <f t="shared" si="86"/>
        <v>5833776.7622950831</v>
      </c>
      <c r="N179" s="270">
        <f t="shared" si="86"/>
        <v>5833776.7622950831</v>
      </c>
      <c r="O179" s="270">
        <f t="shared" si="86"/>
        <v>5818601.6372950831</v>
      </c>
      <c r="P179" s="270">
        <f t="shared" si="86"/>
        <v>5818601.6372950831</v>
      </c>
      <c r="Q179" s="270">
        <f t="shared" si="86"/>
        <v>6462679.8135245917</v>
      </c>
      <c r="R179" s="270">
        <f t="shared" si="86"/>
        <v>6462679.8135245917</v>
      </c>
      <c r="S179" s="270">
        <f t="shared" si="86"/>
        <v>6447125.3103995919</v>
      </c>
      <c r="T179" s="270">
        <f t="shared" si="86"/>
        <v>6447125.3103995919</v>
      </c>
      <c r="U179" s="270">
        <f t="shared" si="86"/>
        <v>7155611.3042520527</v>
      </c>
      <c r="V179" s="270">
        <f t="shared" si="86"/>
        <v>7155611.3042520527</v>
      </c>
      <c r="W179" s="270">
        <f t="shared" si="86"/>
        <v>7139667.9385489272</v>
      </c>
      <c r="X179" s="270">
        <f t="shared" si="86"/>
        <v>7139667.9385489272</v>
      </c>
      <c r="Y179" s="270">
        <f t="shared" si="86"/>
        <v>7919002.5317866337</v>
      </c>
      <c r="Z179" s="270">
        <f t="shared" si="86"/>
        <v>7919002.5317866337</v>
      </c>
      <c r="AA179" s="270">
        <f t="shared" si="86"/>
        <v>7902660.5819409303</v>
      </c>
      <c r="AB179" s="270">
        <f t="shared" si="86"/>
        <v>7902660.5819409303</v>
      </c>
      <c r="AC179" s="270">
        <f t="shared" si="86"/>
        <v>8759928.6345024053</v>
      </c>
      <c r="AD179" s="270">
        <f t="shared" si="86"/>
        <v>8759928.6345024053</v>
      </c>
      <c r="AE179" s="270">
        <f t="shared" si="86"/>
        <v>8743178.1359105613</v>
      </c>
      <c r="AF179" s="270">
        <f t="shared" si="86"/>
        <v>8743178.1359105613</v>
      </c>
      <c r="AG179" s="270">
        <f t="shared" si="86"/>
        <v>9686172.9937281851</v>
      </c>
      <c r="AH179" s="270">
        <f t="shared" si="86"/>
        <v>9686172.9937281851</v>
      </c>
      <c r="AI179" s="270">
        <f t="shared" si="86"/>
        <v>9669003.7326715421</v>
      </c>
      <c r="AJ179" s="270">
        <f t="shared" si="86"/>
        <v>9669003.7326715421</v>
      </c>
      <c r="AK179" s="270">
        <f t="shared" si="86"/>
        <v>10706298.076270932</v>
      </c>
      <c r="AL179" s="270">
        <f t="shared" si="86"/>
        <v>10706298.076270932</v>
      </c>
      <c r="AM179" s="270">
        <f t="shared" si="86"/>
        <v>10688699.583687875</v>
      </c>
      <c r="AN179" s="270">
        <f t="shared" si="86"/>
        <v>10688699.583687875</v>
      </c>
      <c r="AO179" s="270">
        <f t="shared" si="86"/>
        <v>11829723.361647196</v>
      </c>
      <c r="AP179" s="270">
        <f t="shared" si="86"/>
        <v>11829723.361647196</v>
      </c>
      <c r="AQ179" s="270">
        <f t="shared" si="86"/>
        <v>11811684.906749561</v>
      </c>
      <c r="AR179" s="270">
        <f t="shared" si="86"/>
        <v>11811684.906749561</v>
      </c>
      <c r="AS179" s="270">
        <f t="shared" si="86"/>
        <v>13066811.062504822</v>
      </c>
      <c r="AT179" s="270">
        <f t="shared" si="86"/>
        <v>13066811.062504822</v>
      </c>
      <c r="AU179" s="270">
        <f t="shared" ref="AU179" si="87">SUM(AU170,AU175,AU176,AU177)</f>
        <v>13048321.646234747</v>
      </c>
      <c r="AV179" s="270">
        <f t="shared" ref="AV179" si="88">SUM(AV170,AV175,AV176,AV177)</f>
        <v>13048321.646234747</v>
      </c>
      <c r="AW179" s="270">
        <f t="shared" ref="AW179" si="89">SUM(AW170,AW175,AW176,AW177)</f>
        <v>14428960.417565534</v>
      </c>
      <c r="AX179" s="270">
        <f t="shared" ref="AX179" si="90">SUM(AX170,AX175,AX176,AX177)</f>
        <v>14428960.417565534</v>
      </c>
      <c r="AY179" s="270">
        <f t="shared" ref="AY179" si="91">SUM(AY170,AY175,AY176,AY177)</f>
        <v>14410008.765888708</v>
      </c>
      <c r="AZ179" s="270">
        <f t="shared" ref="AZ179" si="92">SUM(AZ170,AZ175,AZ176,AZ177)</f>
        <v>14410008.765888708</v>
      </c>
      <c r="BC179" s="246" t="str">
        <f>B179</f>
        <v>NOI</v>
      </c>
      <c r="BD179" s="247">
        <f>BD170+BD175+BD176+BD177</f>
        <v>7489364.0901639331</v>
      </c>
      <c r="BE179" s="247">
        <f t="shared" ref="BE179:BM179" si="93">BE170+BE175+BE176+BE177</f>
        <v>22164055.819672134</v>
      </c>
      <c r="BF179" s="247">
        <f t="shared" si="93"/>
        <v>24562562.90163935</v>
      </c>
      <c r="BG179" s="247">
        <f t="shared" si="93"/>
        <v>27205473.229303285</v>
      </c>
      <c r="BH179" s="247">
        <f t="shared" si="93"/>
        <v>30117340.94067112</v>
      </c>
      <c r="BI179" s="247">
        <f t="shared" si="93"/>
        <v>33325178.432886671</v>
      </c>
      <c r="BJ179" s="247">
        <f t="shared" si="93"/>
        <v>36858702.259277493</v>
      </c>
      <c r="BK179" s="247">
        <f t="shared" si="93"/>
        <v>40750603.617884949</v>
      </c>
      <c r="BL179" s="247">
        <f t="shared" si="93"/>
        <v>45036845.890670143</v>
      </c>
      <c r="BM179" s="247">
        <f t="shared" si="93"/>
        <v>49756991.938508771</v>
      </c>
    </row>
    <row r="180" spans="1:65" s="63" customFormat="1" ht="20" customHeight="1" x14ac:dyDescent="0.35">
      <c r="A180" s="39"/>
      <c r="B180" s="313" t="s">
        <v>22</v>
      </c>
      <c r="C180" s="310"/>
      <c r="D180" s="310"/>
      <c r="E180" s="310"/>
      <c r="F180" s="314">
        <f t="shared" ref="F180:AT180" si="94">IFERROR(F179/F170,0%)</f>
        <v>0</v>
      </c>
      <c r="G180" s="312">
        <f>IFERROR(G179/G170,0%)</f>
        <v>0</v>
      </c>
      <c r="H180" s="312">
        <f>IFERROR(H179/H170,0%)</f>
        <v>0</v>
      </c>
      <c r="I180" s="312">
        <f>IFERROR(I179/I170,0%)</f>
        <v>0.75340857142857143</v>
      </c>
      <c r="J180" s="312">
        <f>IFERROR(J179/J170,0%)</f>
        <v>0.75340857142857143</v>
      </c>
      <c r="K180" s="312">
        <f>IFERROR(K179/K170,0%)</f>
        <v>0.8237714285714286</v>
      </c>
      <c r="L180" s="312">
        <f t="shared" si="94"/>
        <v>0.8237714285714286</v>
      </c>
      <c r="M180" s="312">
        <f>IFERROR(M179/M170,0%)</f>
        <v>0.83243290043290041</v>
      </c>
      <c r="N180" s="312">
        <f t="shared" si="94"/>
        <v>0.83243290043290041</v>
      </c>
      <c r="O180" s="312">
        <f t="shared" si="94"/>
        <v>0.83026753246753249</v>
      </c>
      <c r="P180" s="312">
        <f t="shared" si="94"/>
        <v>0.83026753246753249</v>
      </c>
      <c r="Q180" s="312">
        <f t="shared" si="94"/>
        <v>0.83833844942935853</v>
      </c>
      <c r="R180" s="312">
        <f t="shared" si="94"/>
        <v>0.83833844942935853</v>
      </c>
      <c r="S180" s="312">
        <f t="shared" si="94"/>
        <v>0.83632072018890213</v>
      </c>
      <c r="T180" s="312">
        <f t="shared" si="94"/>
        <v>0.83632072018890213</v>
      </c>
      <c r="U180" s="312">
        <f t="shared" si="94"/>
        <v>0.8438413473578763</v>
      </c>
      <c r="V180" s="312">
        <f t="shared" si="94"/>
        <v>0.8438413473578763</v>
      </c>
      <c r="W180" s="312">
        <f t="shared" si="94"/>
        <v>0.84196119056563268</v>
      </c>
      <c r="X180" s="312">
        <f t="shared" si="94"/>
        <v>0.84196119056563268</v>
      </c>
      <c r="Y180" s="312">
        <f t="shared" si="94"/>
        <v>0.84896904770035875</v>
      </c>
      <c r="Z180" s="312">
        <f t="shared" si="94"/>
        <v>0.84896904770035875</v>
      </c>
      <c r="AA180" s="312">
        <f t="shared" si="94"/>
        <v>0.84721708341667723</v>
      </c>
      <c r="AB180" s="312">
        <f t="shared" si="94"/>
        <v>0.84721708341667723</v>
      </c>
      <c r="AC180" s="312">
        <f t="shared" si="94"/>
        <v>0.85374713211039921</v>
      </c>
      <c r="AD180" s="312">
        <f t="shared" si="94"/>
        <v>0.85374713211039921</v>
      </c>
      <c r="AE180" s="312">
        <f t="shared" si="94"/>
        <v>0.85211461993696891</v>
      </c>
      <c r="AF180" s="312">
        <f t="shared" si="94"/>
        <v>0.85211461993696891</v>
      </c>
      <c r="AG180" s="312">
        <f t="shared" si="94"/>
        <v>0.85819943803793708</v>
      </c>
      <c r="AH180" s="312">
        <f t="shared" si="94"/>
        <v>0.85819943803793708</v>
      </c>
      <c r="AI180" s="312">
        <f t="shared" si="94"/>
        <v>0.8566782335126949</v>
      </c>
      <c r="AJ180" s="312">
        <f t="shared" si="94"/>
        <v>0.8566782335126949</v>
      </c>
      <c r="AK180" s="312">
        <f t="shared" si="94"/>
        <v>0.86234817765223359</v>
      </c>
      <c r="AL180" s="312">
        <f t="shared" si="94"/>
        <v>0.86234817765223359</v>
      </c>
      <c r="AM180" s="312">
        <f t="shared" si="94"/>
        <v>0.86093069161734903</v>
      </c>
      <c r="AN180" s="312">
        <f t="shared" si="94"/>
        <v>0.86093069161734903</v>
      </c>
      <c r="AO180" s="312">
        <f t="shared" si="94"/>
        <v>0.86621404865646434</v>
      </c>
      <c r="AP180" s="312">
        <f t="shared" si="94"/>
        <v>0.86621404865646434</v>
      </c>
      <c r="AQ180" s="312">
        <f t="shared" si="94"/>
        <v>0.86489320939668546</v>
      </c>
      <c r="AR180" s="312">
        <f t="shared" si="94"/>
        <v>0.86489320939668546</v>
      </c>
      <c r="AS180" s="312">
        <f t="shared" si="94"/>
        <v>0.86981633754677046</v>
      </c>
      <c r="AT180" s="312">
        <f t="shared" si="94"/>
        <v>0.86981633754677046</v>
      </c>
      <c r="AU180" s="312">
        <f t="shared" ref="AU180:AZ180" si="95">IFERROR(AU179/AU170,0%)</f>
        <v>0.86858555550924921</v>
      </c>
      <c r="AV180" s="312">
        <f t="shared" si="95"/>
        <v>0.86858555550924921</v>
      </c>
      <c r="AW180" s="312">
        <f t="shared" si="95"/>
        <v>0.87317301583091911</v>
      </c>
      <c r="AX180" s="312">
        <f t="shared" si="95"/>
        <v>0.87317301583091911</v>
      </c>
      <c r="AY180" s="312">
        <f t="shared" si="95"/>
        <v>0.87202615075050172</v>
      </c>
      <c r="AZ180" s="312">
        <f t="shared" si="95"/>
        <v>0.87202615075050172</v>
      </c>
      <c r="BC180" s="243" t="s">
        <v>196</v>
      </c>
      <c r="BD180" s="244">
        <f>BD179/BD170</f>
        <v>0.58776952380952374</v>
      </c>
      <c r="BE180" s="244">
        <f t="shared" ref="BE180:BM180" si="96">BE179/BE170</f>
        <v>0.82830839002267576</v>
      </c>
      <c r="BF180" s="244">
        <f t="shared" si="96"/>
        <v>0.8344951556380128</v>
      </c>
      <c r="BG180" s="244">
        <f t="shared" si="96"/>
        <v>0.8402600963250314</v>
      </c>
      <c r="BH180" s="244">
        <f t="shared" si="96"/>
        <v>0.8456319728742987</v>
      </c>
      <c r="BI180" s="244">
        <f t="shared" si="96"/>
        <v>0.85063758511338872</v>
      </c>
      <c r="BJ180" s="244">
        <f t="shared" si="96"/>
        <v>0.85530190560890462</v>
      </c>
      <c r="BK180" s="244">
        <f t="shared" si="96"/>
        <v>0.85964820425245314</v>
      </c>
      <c r="BL180" s="244">
        <f t="shared" si="96"/>
        <v>0.86369816435212365</v>
      </c>
      <c r="BM180" s="244">
        <f t="shared" si="96"/>
        <v>0.86747199080863469</v>
      </c>
    </row>
    <row r="181" spans="1:65" s="65" customFormat="1" ht="20" customHeight="1" x14ac:dyDescent="0.35">
      <c r="A181" s="11"/>
      <c r="B181" s="64"/>
      <c r="D181" s="66"/>
      <c r="E181" s="263"/>
      <c r="F181" s="264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  <c r="AW181" s="265"/>
      <c r="AX181" s="265"/>
      <c r="AY181" s="265"/>
      <c r="AZ181" s="265"/>
      <c r="BC181" s="243"/>
      <c r="BD181" s="243"/>
      <c r="BE181" s="243"/>
      <c r="BF181" s="243"/>
      <c r="BG181" s="243"/>
      <c r="BH181" s="243"/>
      <c r="BI181" s="243"/>
      <c r="BJ181" s="243"/>
      <c r="BK181" s="243"/>
      <c r="BL181" s="243"/>
      <c r="BM181" s="243"/>
    </row>
    <row r="182" spans="1:65" ht="20" customHeight="1" x14ac:dyDescent="0.35">
      <c r="B182" s="70" t="s">
        <v>24</v>
      </c>
      <c r="C182" s="53"/>
      <c r="D182" s="53"/>
      <c r="E182" s="72"/>
      <c r="F182" s="269"/>
      <c r="G182" s="122">
        <f t="shared" ref="G182:AZ182" si="97">-$C$67*F211*G114</f>
        <v>-148802.17970901637</v>
      </c>
      <c r="H182" s="122">
        <f t="shared" si="97"/>
        <v>0</v>
      </c>
      <c r="I182" s="122">
        <f t="shared" si="97"/>
        <v>0</v>
      </c>
      <c r="J182" s="122">
        <f t="shared" si="97"/>
        <v>0</v>
      </c>
      <c r="K182" s="122">
        <f t="shared" si="97"/>
        <v>-153330.71713577447</v>
      </c>
      <c r="L182" s="122">
        <f t="shared" si="97"/>
        <v>0</v>
      </c>
      <c r="M182" s="122">
        <f t="shared" si="97"/>
        <v>0</v>
      </c>
      <c r="N182" s="122">
        <f t="shared" si="97"/>
        <v>0</v>
      </c>
      <c r="O182" s="122">
        <f t="shared" si="97"/>
        <v>-184219.22176229508</v>
      </c>
      <c r="P182" s="122">
        <f t="shared" si="97"/>
        <v>0</v>
      </c>
      <c r="Q182" s="122">
        <f t="shared" si="97"/>
        <v>0</v>
      </c>
      <c r="R182" s="122">
        <f t="shared" si="97"/>
        <v>0</v>
      </c>
      <c r="S182" s="122">
        <f t="shared" si="97"/>
        <v>-204041.04921977461</v>
      </c>
      <c r="T182" s="122">
        <f t="shared" si="97"/>
        <v>0</v>
      </c>
      <c r="U182" s="122">
        <f t="shared" si="97"/>
        <v>0</v>
      </c>
      <c r="V182" s="122">
        <f t="shared" si="97"/>
        <v>0</v>
      </c>
      <c r="W182" s="122">
        <f t="shared" si="97"/>
        <v>-225880.05705503342</v>
      </c>
      <c r="X182" s="122">
        <f t="shared" si="97"/>
        <v>0</v>
      </c>
      <c r="Y182" s="122">
        <f t="shared" si="97"/>
        <v>0</v>
      </c>
      <c r="Z182" s="122">
        <f t="shared" si="97"/>
        <v>0</v>
      </c>
      <c r="AA182" s="122">
        <f t="shared" si="97"/>
        <v>-249938.83824664998</v>
      </c>
      <c r="AB182" s="122">
        <f t="shared" si="97"/>
        <v>0</v>
      </c>
      <c r="AC182" s="122">
        <f t="shared" si="97"/>
        <v>0</v>
      </c>
      <c r="AD182" s="122">
        <f t="shared" si="97"/>
        <v>0</v>
      </c>
      <c r="AE182" s="122">
        <f t="shared" si="97"/>
        <v>-276440.26694458118</v>
      </c>
      <c r="AF182" s="122">
        <f t="shared" si="97"/>
        <v>0</v>
      </c>
      <c r="AG182" s="122">
        <f t="shared" si="97"/>
        <v>0</v>
      </c>
      <c r="AH182" s="122">
        <f t="shared" si="97"/>
        <v>0</v>
      </c>
      <c r="AI182" s="122">
        <f t="shared" si="97"/>
        <v>-305629.52713413705</v>
      </c>
      <c r="AJ182" s="122">
        <f t="shared" si="97"/>
        <v>0</v>
      </c>
      <c r="AK182" s="122">
        <f t="shared" si="97"/>
        <v>0</v>
      </c>
      <c r="AL182" s="122">
        <f t="shared" si="97"/>
        <v>0</v>
      </c>
      <c r="AM182" s="122">
        <f t="shared" si="97"/>
        <v>-337776.34418002598</v>
      </c>
      <c r="AN182" s="122">
        <f t="shared" si="97"/>
        <v>0</v>
      </c>
      <c r="AO182" s="122">
        <f t="shared" si="97"/>
        <v>0</v>
      </c>
      <c r="AP182" s="122">
        <f t="shared" si="97"/>
        <v>0</v>
      </c>
      <c r="AQ182" s="122">
        <f t="shared" si="97"/>
        <v>-373177.43953881564</v>
      </c>
      <c r="AR182" s="122">
        <f t="shared" si="97"/>
        <v>0</v>
      </c>
      <c r="AS182" s="122">
        <f t="shared" si="97"/>
        <v>0</v>
      </c>
      <c r="AT182" s="122">
        <f t="shared" si="97"/>
        <v>0</v>
      </c>
      <c r="AU182" s="122">
        <f t="shared" si="97"/>
        <v>-412159.23095700413</v>
      </c>
      <c r="AV182" s="122">
        <f t="shared" si="97"/>
        <v>0</v>
      </c>
      <c r="AW182" s="122">
        <f t="shared" si="97"/>
        <v>0</v>
      </c>
      <c r="AX182" s="122">
        <f t="shared" si="97"/>
        <v>0</v>
      </c>
      <c r="AY182" s="122">
        <f t="shared" si="97"/>
        <v>-454330.31939019624</v>
      </c>
      <c r="AZ182" s="122">
        <f t="shared" si="97"/>
        <v>0</v>
      </c>
      <c r="BC182" s="245" t="str">
        <f t="shared" ref="BC182:BC187" si="98">B182</f>
        <v>Страхование недвижимости</v>
      </c>
      <c r="BD182" s="235">
        <f t="shared" ref="BD182:BM187" si="99">SUMIF($F$98:$AZ$98,BD$164,$F182:$AZ182)</f>
        <v>-148802.17970901637</v>
      </c>
      <c r="BE182" s="235">
        <f t="shared" si="99"/>
        <v>-153330.71713577447</v>
      </c>
      <c r="BF182" s="235">
        <f t="shared" si="99"/>
        <v>-184219.22176229508</v>
      </c>
      <c r="BG182" s="235">
        <f t="shared" si="99"/>
        <v>-204041.04921977461</v>
      </c>
      <c r="BH182" s="235">
        <f t="shared" si="99"/>
        <v>-225880.05705503342</v>
      </c>
      <c r="BI182" s="235">
        <f t="shared" si="99"/>
        <v>-249938.83824664998</v>
      </c>
      <c r="BJ182" s="235">
        <f t="shared" si="99"/>
        <v>-276440.26694458118</v>
      </c>
      <c r="BK182" s="235">
        <f t="shared" si="99"/>
        <v>-305629.52713413705</v>
      </c>
      <c r="BL182" s="235">
        <f t="shared" si="99"/>
        <v>-337776.34418002598</v>
      </c>
      <c r="BM182" s="235">
        <f t="shared" si="99"/>
        <v>-373177.43953881564</v>
      </c>
    </row>
    <row r="183" spans="1:65" ht="20" customHeight="1" x14ac:dyDescent="0.35">
      <c r="B183" s="70" t="s">
        <v>8</v>
      </c>
      <c r="C183" s="53"/>
      <c r="D183" s="53"/>
      <c r="E183" s="67"/>
      <c r="F183" s="269">
        <f>-N13</f>
        <v>-13665755.250000004</v>
      </c>
      <c r="G183" s="295">
        <f>-$C$46/4*$F$211</f>
        <v>-620009.08212090167</v>
      </c>
      <c r="H183" s="295">
        <f t="shared" ref="H183:K183" si="100">-$C$46/4*$F$211</f>
        <v>-620009.08212090167</v>
      </c>
      <c r="I183" s="295">
        <f t="shared" si="100"/>
        <v>-620009.08212090167</v>
      </c>
      <c r="J183" s="295">
        <f t="shared" si="100"/>
        <v>-620009.08212090167</v>
      </c>
      <c r="K183" s="295">
        <f t="shared" si="100"/>
        <v>-620009.08212090167</v>
      </c>
      <c r="L183" s="122">
        <f t="shared" ref="L183:AZ183" si="101">-$C$46/4*K211</f>
        <v>-710450.19716956979</v>
      </c>
      <c r="M183" s="122">
        <f t="shared" si="101"/>
        <v>-728273.64997438539</v>
      </c>
      <c r="N183" s="122">
        <f t="shared" si="101"/>
        <v>-747926.87032530759</v>
      </c>
      <c r="O183" s="122">
        <f t="shared" si="101"/>
        <v>-767580.09067622956</v>
      </c>
      <c r="P183" s="122">
        <f t="shared" si="101"/>
        <v>-787221.45546074561</v>
      </c>
      <c r="Q183" s="122">
        <f t="shared" si="101"/>
        <v>-806862.82024526154</v>
      </c>
      <c r="R183" s="122">
        <f t="shared" si="101"/>
        <v>-828516.92933049472</v>
      </c>
      <c r="S183" s="122">
        <f t="shared" si="101"/>
        <v>-850171.03841572767</v>
      </c>
      <c r="T183" s="122">
        <f t="shared" si="101"/>
        <v>-871812.99554539449</v>
      </c>
      <c r="U183" s="122">
        <f t="shared" si="101"/>
        <v>-893454.9526750613</v>
      </c>
      <c r="V183" s="122">
        <f t="shared" si="101"/>
        <v>-917310.92853551684</v>
      </c>
      <c r="W183" s="122">
        <f t="shared" si="101"/>
        <v>-941166.90439597261</v>
      </c>
      <c r="X183" s="122">
        <f t="shared" si="101"/>
        <v>-965010.42450197262</v>
      </c>
      <c r="Y183" s="122">
        <f t="shared" si="101"/>
        <v>-988853.94460797287</v>
      </c>
      <c r="Z183" s="122">
        <f t="shared" si="101"/>
        <v>-1015132.8853178406</v>
      </c>
      <c r="AA183" s="122">
        <f t="shared" si="101"/>
        <v>-1041411.8260277084</v>
      </c>
      <c r="AB183" s="122">
        <f t="shared" si="101"/>
        <v>-1067677.9995892595</v>
      </c>
      <c r="AC183" s="122">
        <f t="shared" si="101"/>
        <v>-1093944.1731508104</v>
      </c>
      <c r="AD183" s="122">
        <f t="shared" si="101"/>
        <v>-1122889.309376616</v>
      </c>
      <c r="AE183" s="122">
        <f t="shared" si="101"/>
        <v>-1151834.4456024216</v>
      </c>
      <c r="AF183" s="122">
        <f t="shared" si="101"/>
        <v>-1180766.4955012023</v>
      </c>
      <c r="AG183" s="122">
        <f t="shared" si="101"/>
        <v>-1209698.5453999829</v>
      </c>
      <c r="AH183" s="122">
        <f t="shared" si="101"/>
        <v>-1241577.4542294438</v>
      </c>
      <c r="AI183" s="122">
        <f t="shared" si="101"/>
        <v>-1273456.3630589047</v>
      </c>
      <c r="AJ183" s="122">
        <f t="shared" si="101"/>
        <v>-1305321.8584031649</v>
      </c>
      <c r="AK183" s="122">
        <f t="shared" si="101"/>
        <v>-1337187.3537474256</v>
      </c>
      <c r="AL183" s="122">
        <f t="shared" si="101"/>
        <v>-1372294.3939154339</v>
      </c>
      <c r="AM183" s="122">
        <f t="shared" si="101"/>
        <v>-1407401.4340834417</v>
      </c>
      <c r="AN183" s="122">
        <f t="shared" si="101"/>
        <v>-1442494.7254291195</v>
      </c>
      <c r="AO183" s="122">
        <f t="shared" si="101"/>
        <v>-1477588.0167747976</v>
      </c>
      <c r="AP183" s="122">
        <f t="shared" si="101"/>
        <v>-1516247.0074265981</v>
      </c>
      <c r="AQ183" s="122">
        <f t="shared" si="101"/>
        <v>-1554905.9980783986</v>
      </c>
      <c r="AR183" s="122">
        <f t="shared" si="101"/>
        <v>-1593550.896187311</v>
      </c>
      <c r="AS183" s="122">
        <f t="shared" si="101"/>
        <v>-1632195.7942962232</v>
      </c>
      <c r="AT183" s="122">
        <f t="shared" si="101"/>
        <v>-1674762.9616418702</v>
      </c>
      <c r="AU183" s="122">
        <f t="shared" si="101"/>
        <v>-1717330.1289875174</v>
      </c>
      <c r="AV183" s="122">
        <f t="shared" si="101"/>
        <v>-1759882.851476704</v>
      </c>
      <c r="AW183" s="122">
        <f t="shared" si="101"/>
        <v>-1802794.4235363591</v>
      </c>
      <c r="AX183" s="122">
        <f t="shared" si="101"/>
        <v>-1847324.7133211256</v>
      </c>
      <c r="AY183" s="122">
        <f t="shared" si="101"/>
        <v>-1893042.9974591511</v>
      </c>
      <c r="AZ183" s="122">
        <f t="shared" si="101"/>
        <v>-1940875.7503111074</v>
      </c>
      <c r="BC183" s="245" t="str">
        <f t="shared" si="98"/>
        <v>Комиссия SimpleEstate</v>
      </c>
      <c r="BD183" s="235">
        <f t="shared" si="99"/>
        <v>-16145791.578483608</v>
      </c>
      <c r="BE183" s="235">
        <f t="shared" si="99"/>
        <v>-2806659.7995901648</v>
      </c>
      <c r="BF183" s="235">
        <f t="shared" si="99"/>
        <v>-3190181.2957127313</v>
      </c>
      <c r="BG183" s="235">
        <f t="shared" si="99"/>
        <v>-3532749.9151717001</v>
      </c>
      <c r="BH183" s="235">
        <f t="shared" si="99"/>
        <v>-3910164.1588237584</v>
      </c>
      <c r="BI183" s="235">
        <f t="shared" si="99"/>
        <v>-4325923.3081443943</v>
      </c>
      <c r="BJ183" s="235">
        <f t="shared" si="99"/>
        <v>-4783876.9407330509</v>
      </c>
      <c r="BK183" s="235">
        <f t="shared" si="99"/>
        <v>-5288259.969124929</v>
      </c>
      <c r="BL183" s="235">
        <f t="shared" si="99"/>
        <v>-5843731.1837139567</v>
      </c>
      <c r="BM183" s="235">
        <f t="shared" si="99"/>
        <v>-6455415.6502038036</v>
      </c>
    </row>
    <row r="184" spans="1:65" ht="20" customHeight="1" x14ac:dyDescent="0.35">
      <c r="B184" s="70" t="s">
        <v>71</v>
      </c>
      <c r="C184" s="53"/>
      <c r="D184" s="53"/>
      <c r="E184" s="271">
        <f>-C42/4</f>
        <v>-62500</v>
      </c>
      <c r="F184" s="269">
        <f>-SUM(N10:N12)</f>
        <v>-2200000</v>
      </c>
      <c r="G184" s="122">
        <f>$E$184</f>
        <v>-62500</v>
      </c>
      <c r="H184" s="122">
        <f>IF(MONTH(H$97)=3,G184*(1+$C$72),G184)</f>
        <v>-62500</v>
      </c>
      <c r="I184" s="122">
        <f t="shared" ref="I184:AZ184" si="102">IF(MONTH(I$97)=3,H184*(1+$C$72),H184)</f>
        <v>-62500</v>
      </c>
      <c r="J184" s="122">
        <f t="shared" si="102"/>
        <v>-62500</v>
      </c>
      <c r="K184" s="122">
        <f t="shared" si="102"/>
        <v>-65625</v>
      </c>
      <c r="L184" s="122">
        <f t="shared" si="102"/>
        <v>-65625</v>
      </c>
      <c r="M184" s="122">
        <f t="shared" si="102"/>
        <v>-65625</v>
      </c>
      <c r="N184" s="122">
        <f t="shared" si="102"/>
        <v>-65625</v>
      </c>
      <c r="O184" s="122">
        <f t="shared" si="102"/>
        <v>-68906.25</v>
      </c>
      <c r="P184" s="122">
        <f t="shared" si="102"/>
        <v>-68906.25</v>
      </c>
      <c r="Q184" s="122">
        <f t="shared" si="102"/>
        <v>-68906.25</v>
      </c>
      <c r="R184" s="122">
        <f t="shared" si="102"/>
        <v>-68906.25</v>
      </c>
      <c r="S184" s="122">
        <f t="shared" si="102"/>
        <v>-72351.5625</v>
      </c>
      <c r="T184" s="122">
        <f t="shared" si="102"/>
        <v>-72351.5625</v>
      </c>
      <c r="U184" s="122">
        <f t="shared" si="102"/>
        <v>-72351.5625</v>
      </c>
      <c r="V184" s="122">
        <f t="shared" si="102"/>
        <v>-72351.5625</v>
      </c>
      <c r="W184" s="122">
        <f t="shared" si="102"/>
        <v>-75969.140625</v>
      </c>
      <c r="X184" s="122">
        <f t="shared" si="102"/>
        <v>-75969.140625</v>
      </c>
      <c r="Y184" s="122">
        <f t="shared" si="102"/>
        <v>-75969.140625</v>
      </c>
      <c r="Z184" s="122">
        <f t="shared" si="102"/>
        <v>-75969.140625</v>
      </c>
      <c r="AA184" s="122">
        <f t="shared" si="102"/>
        <v>-79767.59765625</v>
      </c>
      <c r="AB184" s="122">
        <f t="shared" si="102"/>
        <v>-79767.59765625</v>
      </c>
      <c r="AC184" s="122">
        <f t="shared" si="102"/>
        <v>-79767.59765625</v>
      </c>
      <c r="AD184" s="122">
        <f t="shared" si="102"/>
        <v>-79767.59765625</v>
      </c>
      <c r="AE184" s="122">
        <f t="shared" si="102"/>
        <v>-83755.9775390625</v>
      </c>
      <c r="AF184" s="122">
        <f t="shared" si="102"/>
        <v>-83755.9775390625</v>
      </c>
      <c r="AG184" s="122">
        <f t="shared" si="102"/>
        <v>-83755.9775390625</v>
      </c>
      <c r="AH184" s="122">
        <f t="shared" si="102"/>
        <v>-83755.9775390625</v>
      </c>
      <c r="AI184" s="122">
        <f t="shared" si="102"/>
        <v>-87943.776416015622</v>
      </c>
      <c r="AJ184" s="122">
        <f t="shared" si="102"/>
        <v>-87943.776416015622</v>
      </c>
      <c r="AK184" s="122">
        <f t="shared" si="102"/>
        <v>-87943.776416015622</v>
      </c>
      <c r="AL184" s="122">
        <f t="shared" si="102"/>
        <v>-87943.776416015622</v>
      </c>
      <c r="AM184" s="122">
        <f t="shared" si="102"/>
        <v>-92340.96523681641</v>
      </c>
      <c r="AN184" s="122">
        <f t="shared" si="102"/>
        <v>-92340.96523681641</v>
      </c>
      <c r="AO184" s="122">
        <f t="shared" si="102"/>
        <v>-92340.96523681641</v>
      </c>
      <c r="AP184" s="122">
        <f t="shared" si="102"/>
        <v>-92340.96523681641</v>
      </c>
      <c r="AQ184" s="122">
        <f t="shared" si="102"/>
        <v>-96958.013498657238</v>
      </c>
      <c r="AR184" s="122">
        <f t="shared" si="102"/>
        <v>-96958.013498657238</v>
      </c>
      <c r="AS184" s="122">
        <f t="shared" si="102"/>
        <v>-96958.013498657238</v>
      </c>
      <c r="AT184" s="122">
        <f t="shared" si="102"/>
        <v>-96958.013498657238</v>
      </c>
      <c r="AU184" s="122">
        <f t="shared" si="102"/>
        <v>-101805.91417359011</v>
      </c>
      <c r="AV184" s="122">
        <f t="shared" si="102"/>
        <v>-101805.91417359011</v>
      </c>
      <c r="AW184" s="122">
        <f t="shared" si="102"/>
        <v>-101805.91417359011</v>
      </c>
      <c r="AX184" s="122">
        <f t="shared" si="102"/>
        <v>-101805.91417359011</v>
      </c>
      <c r="AY184" s="122">
        <f t="shared" si="102"/>
        <v>-106896.20988226961</v>
      </c>
      <c r="AZ184" s="122">
        <f t="shared" si="102"/>
        <v>-106896.20988226961</v>
      </c>
      <c r="BC184" s="245" t="str">
        <f t="shared" si="98"/>
        <v>Юридические и прочие расходы</v>
      </c>
      <c r="BD184" s="235">
        <f t="shared" si="99"/>
        <v>-2450000</v>
      </c>
      <c r="BE184" s="235">
        <f t="shared" si="99"/>
        <v>-262500</v>
      </c>
      <c r="BF184" s="235">
        <f t="shared" si="99"/>
        <v>-275625</v>
      </c>
      <c r="BG184" s="235">
        <f t="shared" si="99"/>
        <v>-289406.25</v>
      </c>
      <c r="BH184" s="235">
        <f t="shared" si="99"/>
        <v>-303876.5625</v>
      </c>
      <c r="BI184" s="235">
        <f t="shared" si="99"/>
        <v>-319070.390625</v>
      </c>
      <c r="BJ184" s="235">
        <f t="shared" si="99"/>
        <v>-335023.91015625</v>
      </c>
      <c r="BK184" s="235">
        <f t="shared" si="99"/>
        <v>-351775.10566406249</v>
      </c>
      <c r="BL184" s="235">
        <f t="shared" si="99"/>
        <v>-369363.86094726564</v>
      </c>
      <c r="BM184" s="235">
        <f t="shared" si="99"/>
        <v>-387832.05399462895</v>
      </c>
    </row>
    <row r="185" spans="1:65" ht="20" customHeight="1" x14ac:dyDescent="0.35">
      <c r="B185" s="70" t="s">
        <v>101</v>
      </c>
      <c r="C185" s="73"/>
      <c r="D185" s="74"/>
      <c r="E185" s="272"/>
      <c r="F185" s="269">
        <f t="shared" ref="F185:AZ185" si="103">-F139-F156</f>
        <v>0</v>
      </c>
      <c r="G185" s="122">
        <f t="shared" si="103"/>
        <v>-3125000</v>
      </c>
      <c r="H185" s="122">
        <f t="shared" si="103"/>
        <v>-2381454.5373975411</v>
      </c>
      <c r="I185" s="122">
        <f t="shared" si="103"/>
        <v>-1921214.6868916496</v>
      </c>
      <c r="J185" s="122">
        <f t="shared" si="103"/>
        <v>-1432209.8457291399</v>
      </c>
      <c r="K185" s="122">
        <f t="shared" si="103"/>
        <v>-1060034.8761743011</v>
      </c>
      <c r="L185" s="122">
        <f t="shared" si="103"/>
        <v>0</v>
      </c>
      <c r="M185" s="122">
        <f t="shared" si="103"/>
        <v>0</v>
      </c>
      <c r="N185" s="122">
        <f t="shared" si="103"/>
        <v>0</v>
      </c>
      <c r="O185" s="122">
        <f t="shared" si="103"/>
        <v>0</v>
      </c>
      <c r="P185" s="122">
        <f t="shared" si="103"/>
        <v>0</v>
      </c>
      <c r="Q185" s="122">
        <f t="shared" si="103"/>
        <v>0</v>
      </c>
      <c r="R185" s="122">
        <f t="shared" si="103"/>
        <v>0</v>
      </c>
      <c r="S185" s="122">
        <f t="shared" si="103"/>
        <v>0</v>
      </c>
      <c r="T185" s="122">
        <f t="shared" si="103"/>
        <v>0</v>
      </c>
      <c r="U185" s="122">
        <f t="shared" si="103"/>
        <v>0</v>
      </c>
      <c r="V185" s="122">
        <f t="shared" si="103"/>
        <v>0</v>
      </c>
      <c r="W185" s="122">
        <f t="shared" si="103"/>
        <v>0</v>
      </c>
      <c r="X185" s="122">
        <f t="shared" si="103"/>
        <v>0</v>
      </c>
      <c r="Y185" s="122">
        <f t="shared" si="103"/>
        <v>0</v>
      </c>
      <c r="Z185" s="122">
        <f t="shared" si="103"/>
        <v>0</v>
      </c>
      <c r="AA185" s="122">
        <f t="shared" si="103"/>
        <v>0</v>
      </c>
      <c r="AB185" s="122">
        <f t="shared" si="103"/>
        <v>0</v>
      </c>
      <c r="AC185" s="122">
        <f t="shared" si="103"/>
        <v>0</v>
      </c>
      <c r="AD185" s="122">
        <f t="shared" si="103"/>
        <v>0</v>
      </c>
      <c r="AE185" s="122">
        <f t="shared" si="103"/>
        <v>0</v>
      </c>
      <c r="AF185" s="122">
        <f t="shared" si="103"/>
        <v>0</v>
      </c>
      <c r="AG185" s="122">
        <f t="shared" si="103"/>
        <v>0</v>
      </c>
      <c r="AH185" s="122">
        <f t="shared" si="103"/>
        <v>0</v>
      </c>
      <c r="AI185" s="122">
        <f t="shared" si="103"/>
        <v>0</v>
      </c>
      <c r="AJ185" s="122">
        <f t="shared" si="103"/>
        <v>0</v>
      </c>
      <c r="AK185" s="122">
        <f t="shared" si="103"/>
        <v>0</v>
      </c>
      <c r="AL185" s="122">
        <f t="shared" si="103"/>
        <v>0</v>
      </c>
      <c r="AM185" s="122">
        <f t="shared" si="103"/>
        <v>0</v>
      </c>
      <c r="AN185" s="122">
        <f t="shared" si="103"/>
        <v>0</v>
      </c>
      <c r="AO185" s="122">
        <f t="shared" si="103"/>
        <v>0</v>
      </c>
      <c r="AP185" s="122">
        <f t="shared" si="103"/>
        <v>0</v>
      </c>
      <c r="AQ185" s="122">
        <f t="shared" si="103"/>
        <v>0</v>
      </c>
      <c r="AR185" s="122">
        <f t="shared" si="103"/>
        <v>0</v>
      </c>
      <c r="AS185" s="122">
        <f t="shared" si="103"/>
        <v>0</v>
      </c>
      <c r="AT185" s="122">
        <f t="shared" si="103"/>
        <v>0</v>
      </c>
      <c r="AU185" s="122">
        <f t="shared" si="103"/>
        <v>0</v>
      </c>
      <c r="AV185" s="122">
        <f t="shared" si="103"/>
        <v>0</v>
      </c>
      <c r="AW185" s="122">
        <f t="shared" si="103"/>
        <v>0</v>
      </c>
      <c r="AX185" s="122">
        <f t="shared" si="103"/>
        <v>0</v>
      </c>
      <c r="AY185" s="122">
        <f t="shared" si="103"/>
        <v>0</v>
      </c>
      <c r="AZ185" s="122">
        <f t="shared" si="103"/>
        <v>0</v>
      </c>
      <c r="BC185" s="245" t="str">
        <f t="shared" si="98"/>
        <v>Проценты по долгу</v>
      </c>
      <c r="BD185" s="235">
        <f t="shared" si="99"/>
        <v>-8859879.0700183306</v>
      </c>
      <c r="BE185" s="235">
        <f t="shared" si="99"/>
        <v>-1060034.8761743011</v>
      </c>
      <c r="BF185" s="235">
        <f t="shared" si="99"/>
        <v>0</v>
      </c>
      <c r="BG185" s="235">
        <f t="shared" si="99"/>
        <v>0</v>
      </c>
      <c r="BH185" s="235">
        <f t="shared" si="99"/>
        <v>0</v>
      </c>
      <c r="BI185" s="235">
        <f t="shared" si="99"/>
        <v>0</v>
      </c>
      <c r="BJ185" s="235">
        <f t="shared" si="99"/>
        <v>0</v>
      </c>
      <c r="BK185" s="235">
        <f t="shared" si="99"/>
        <v>0</v>
      </c>
      <c r="BL185" s="235">
        <f t="shared" si="99"/>
        <v>0</v>
      </c>
      <c r="BM185" s="235">
        <f t="shared" si="99"/>
        <v>0</v>
      </c>
    </row>
    <row r="186" spans="1:65" ht="20" customHeight="1" x14ac:dyDescent="0.35">
      <c r="B186" s="70" t="s">
        <v>130</v>
      </c>
      <c r="C186" s="73"/>
      <c r="D186" s="74"/>
      <c r="E186" s="272"/>
      <c r="F186" s="269">
        <f>SUM(F126,F125)</f>
        <v>0</v>
      </c>
      <c r="G186" s="122">
        <f>SUM(G131,G125)</f>
        <v>-19187037.295081969</v>
      </c>
      <c r="H186" s="122">
        <f>SUM(H131,H126)</f>
        <v>-1439027.7971311477</v>
      </c>
      <c r="I186" s="122">
        <f>SUM(I131,I126)</f>
        <v>-1707014.4774590165</v>
      </c>
      <c r="J186" s="122">
        <f>SUM(J131,J126)</f>
        <v>-1707014.4774590165</v>
      </c>
      <c r="K186" s="122">
        <f t="shared" ref="K186:AZ186" si="104">SUM(K131,K126)</f>
        <v>-1707014.4774590165</v>
      </c>
      <c r="L186" s="122">
        <f t="shared" si="104"/>
        <v>-1707014.4774590165</v>
      </c>
      <c r="M186" s="122">
        <f t="shared" si="104"/>
        <v>-1707014.4774590165</v>
      </c>
      <c r="N186" s="122">
        <f t="shared" si="104"/>
        <v>-1707014.4774590165</v>
      </c>
      <c r="O186" s="122">
        <f t="shared" si="104"/>
        <v>-1707014.4774590165</v>
      </c>
      <c r="P186" s="122">
        <f t="shared" si="104"/>
        <v>-1707014.4774590165</v>
      </c>
      <c r="Q186" s="122">
        <f t="shared" si="104"/>
        <v>-1707014.4774590165</v>
      </c>
      <c r="R186" s="122">
        <f t="shared" si="104"/>
        <v>-1707014.4774590165</v>
      </c>
      <c r="S186" s="122">
        <f t="shared" si="104"/>
        <v>-1707014.4774590165</v>
      </c>
      <c r="T186" s="122">
        <f t="shared" si="104"/>
        <v>-1707014.4774590165</v>
      </c>
      <c r="U186" s="122">
        <f t="shared" si="104"/>
        <v>-1707014.4774590165</v>
      </c>
      <c r="V186" s="122">
        <f t="shared" si="104"/>
        <v>-1707014.4774590165</v>
      </c>
      <c r="W186" s="122">
        <f t="shared" si="104"/>
        <v>-1707014.4774590165</v>
      </c>
      <c r="X186" s="122">
        <f t="shared" si="104"/>
        <v>-1707014.4774590165</v>
      </c>
      <c r="Y186" s="122">
        <f t="shared" si="104"/>
        <v>-1707014.4774590165</v>
      </c>
      <c r="Z186" s="122">
        <f t="shared" si="104"/>
        <v>-1707014.4774590165</v>
      </c>
      <c r="AA186" s="122">
        <f t="shared" si="104"/>
        <v>-1707014.4774590165</v>
      </c>
      <c r="AB186" s="122">
        <f t="shared" si="104"/>
        <v>-1707014.4774590165</v>
      </c>
      <c r="AC186" s="122">
        <f t="shared" si="104"/>
        <v>-1707014.4774590165</v>
      </c>
      <c r="AD186" s="122">
        <f t="shared" si="104"/>
        <v>-1707014.4774590165</v>
      </c>
      <c r="AE186" s="122">
        <f t="shared" si="104"/>
        <v>-1707014.4774590165</v>
      </c>
      <c r="AF186" s="122">
        <f t="shared" si="104"/>
        <v>-1707014.4774590165</v>
      </c>
      <c r="AG186" s="122">
        <f t="shared" si="104"/>
        <v>-1707014.4774590165</v>
      </c>
      <c r="AH186" s="122">
        <f t="shared" si="104"/>
        <v>-1707014.4774590165</v>
      </c>
      <c r="AI186" s="122">
        <f t="shared" si="104"/>
        <v>-1707014.4774590165</v>
      </c>
      <c r="AJ186" s="122">
        <f t="shared" si="104"/>
        <v>-1707014.4774590165</v>
      </c>
      <c r="AK186" s="122">
        <f t="shared" si="104"/>
        <v>-1707014.4774590165</v>
      </c>
      <c r="AL186" s="122">
        <f t="shared" si="104"/>
        <v>-1707014.4774590165</v>
      </c>
      <c r="AM186" s="122">
        <f t="shared" si="104"/>
        <v>-1707014.4774590165</v>
      </c>
      <c r="AN186" s="122">
        <f t="shared" si="104"/>
        <v>-1707014.4774590165</v>
      </c>
      <c r="AO186" s="122">
        <f t="shared" si="104"/>
        <v>-1707014.4774590165</v>
      </c>
      <c r="AP186" s="122">
        <f t="shared" si="104"/>
        <v>-1707014.4774590165</v>
      </c>
      <c r="AQ186" s="122">
        <f t="shared" si="104"/>
        <v>-1707014.4774590165</v>
      </c>
      <c r="AR186" s="122">
        <f t="shared" si="104"/>
        <v>-1707014.4774590165</v>
      </c>
      <c r="AS186" s="122">
        <f t="shared" si="104"/>
        <v>-1707014.4774590165</v>
      </c>
      <c r="AT186" s="122">
        <f t="shared" si="104"/>
        <v>-1707014.4774590165</v>
      </c>
      <c r="AU186" s="122">
        <f t="shared" si="104"/>
        <v>-1707014.4774590165</v>
      </c>
      <c r="AV186" s="122">
        <f t="shared" si="104"/>
        <v>-1707014.4774590165</v>
      </c>
      <c r="AW186" s="122">
        <f t="shared" si="104"/>
        <v>-1707014.4774590165</v>
      </c>
      <c r="AX186" s="122">
        <f t="shared" si="104"/>
        <v>-1707014.4774590165</v>
      </c>
      <c r="AY186" s="122">
        <f t="shared" si="104"/>
        <v>-1707014.4774590165</v>
      </c>
      <c r="AZ186" s="122">
        <f t="shared" si="104"/>
        <v>-1707014.4774590165</v>
      </c>
      <c r="BC186" s="245" t="str">
        <f t="shared" si="98"/>
        <v xml:space="preserve">Амортизация </v>
      </c>
      <c r="BD186" s="235">
        <f t="shared" si="99"/>
        <v>-24040094.047131151</v>
      </c>
      <c r="BE186" s="235">
        <f t="shared" si="99"/>
        <v>-6828057.909836066</v>
      </c>
      <c r="BF186" s="235">
        <f t="shared" si="99"/>
        <v>-6828057.909836066</v>
      </c>
      <c r="BG186" s="235">
        <f t="shared" si="99"/>
        <v>-6828057.909836066</v>
      </c>
      <c r="BH186" s="235">
        <f t="shared" si="99"/>
        <v>-6828057.909836066</v>
      </c>
      <c r="BI186" s="235">
        <f t="shared" si="99"/>
        <v>-6828057.909836066</v>
      </c>
      <c r="BJ186" s="235">
        <f t="shared" si="99"/>
        <v>-6828057.909836066</v>
      </c>
      <c r="BK186" s="235">
        <f t="shared" si="99"/>
        <v>-6828057.909836066</v>
      </c>
      <c r="BL186" s="235">
        <f t="shared" si="99"/>
        <v>-6828057.909836066</v>
      </c>
      <c r="BM186" s="235">
        <f t="shared" si="99"/>
        <v>-6828057.909836066</v>
      </c>
    </row>
    <row r="187" spans="1:65" ht="20" customHeight="1" x14ac:dyDescent="0.35">
      <c r="B187" s="70" t="s">
        <v>190</v>
      </c>
      <c r="C187" s="73"/>
      <c r="D187" s="74"/>
      <c r="E187" s="272"/>
      <c r="F187" s="296">
        <v>0</v>
      </c>
      <c r="G187" s="295">
        <v>0</v>
      </c>
      <c r="H187" s="295">
        <v>0</v>
      </c>
      <c r="I187" s="122">
        <f>-I170/3</f>
        <v>-2123668.0327868853</v>
      </c>
      <c r="J187" s="295">
        <v>0</v>
      </c>
      <c r="K187" s="295">
        <v>0</v>
      </c>
      <c r="L187" s="295">
        <v>0</v>
      </c>
      <c r="M187" s="295">
        <v>0</v>
      </c>
      <c r="N187" s="295">
        <v>0</v>
      </c>
      <c r="O187" s="295">
        <v>0</v>
      </c>
      <c r="P187" s="295">
        <v>0</v>
      </c>
      <c r="Q187" s="295">
        <v>0</v>
      </c>
      <c r="R187" s="295">
        <v>0</v>
      </c>
      <c r="S187" s="295">
        <v>0</v>
      </c>
      <c r="T187" s="295">
        <v>0</v>
      </c>
      <c r="U187" s="295">
        <v>0</v>
      </c>
      <c r="V187" s="295">
        <v>0</v>
      </c>
      <c r="W187" s="295">
        <v>0</v>
      </c>
      <c r="X187" s="295">
        <v>0</v>
      </c>
      <c r="Y187" s="295">
        <v>0</v>
      </c>
      <c r="Z187" s="295">
        <v>0</v>
      </c>
      <c r="AA187" s="295">
        <v>0</v>
      </c>
      <c r="AB187" s="295">
        <v>0</v>
      </c>
      <c r="AC187" s="295">
        <v>0</v>
      </c>
      <c r="AD187" s="295">
        <v>0</v>
      </c>
      <c r="AE187" s="295">
        <v>0</v>
      </c>
      <c r="AF187" s="295">
        <v>0</v>
      </c>
      <c r="AG187" s="295">
        <v>0</v>
      </c>
      <c r="AH187" s="295">
        <v>0</v>
      </c>
      <c r="AI187" s="295">
        <v>0</v>
      </c>
      <c r="AJ187" s="295">
        <v>0</v>
      </c>
      <c r="AK187" s="295">
        <v>0</v>
      </c>
      <c r="AL187" s="295">
        <v>0</v>
      </c>
      <c r="AM187" s="295">
        <v>0</v>
      </c>
      <c r="AN187" s="295">
        <v>0</v>
      </c>
      <c r="AO187" s="295">
        <v>0</v>
      </c>
      <c r="AP187" s="295">
        <v>0</v>
      </c>
      <c r="AQ187" s="295">
        <v>0</v>
      </c>
      <c r="AR187" s="295">
        <v>0</v>
      </c>
      <c r="AS187" s="295">
        <v>0</v>
      </c>
      <c r="AT187" s="295">
        <v>0</v>
      </c>
      <c r="AU187" s="295">
        <v>0</v>
      </c>
      <c r="AV187" s="295">
        <v>0</v>
      </c>
      <c r="AW187" s="295">
        <v>0</v>
      </c>
      <c r="AX187" s="295">
        <v>0</v>
      </c>
      <c r="AY187" s="295">
        <v>0</v>
      </c>
      <c r="AZ187" s="295">
        <v>0</v>
      </c>
      <c r="BC187" s="245" t="str">
        <f t="shared" si="98"/>
        <v xml:space="preserve">Комиссия за поиск арендатора </v>
      </c>
      <c r="BD187" s="235">
        <f t="shared" si="99"/>
        <v>-2123668.0327868853</v>
      </c>
      <c r="BE187" s="235">
        <f t="shared" si="99"/>
        <v>0</v>
      </c>
      <c r="BF187" s="235">
        <f t="shared" si="99"/>
        <v>0</v>
      </c>
      <c r="BG187" s="235">
        <f t="shared" si="99"/>
        <v>0</v>
      </c>
      <c r="BH187" s="235">
        <f t="shared" si="99"/>
        <v>0</v>
      </c>
      <c r="BI187" s="235">
        <f t="shared" si="99"/>
        <v>0</v>
      </c>
      <c r="BJ187" s="235">
        <f t="shared" si="99"/>
        <v>0</v>
      </c>
      <c r="BK187" s="235">
        <f t="shared" si="99"/>
        <v>0</v>
      </c>
      <c r="BL187" s="235">
        <f t="shared" si="99"/>
        <v>0</v>
      </c>
      <c r="BM187" s="235">
        <f t="shared" si="99"/>
        <v>0</v>
      </c>
    </row>
    <row r="188" spans="1:65" ht="20" customHeight="1" x14ac:dyDescent="0.35">
      <c r="B188" s="70"/>
      <c r="C188" s="73"/>
      <c r="D188" s="74"/>
      <c r="E188" s="272"/>
      <c r="F188" s="269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22"/>
      <c r="AY188" s="122"/>
      <c r="AZ188" s="122"/>
    </row>
    <row r="189" spans="1:65" s="52" customFormat="1" ht="20" customHeight="1" x14ac:dyDescent="0.35">
      <c r="A189" s="11"/>
      <c r="B189" s="68" t="s">
        <v>25</v>
      </c>
      <c r="C189" s="55"/>
      <c r="D189" s="69"/>
      <c r="E189" s="55"/>
      <c r="F189" s="273">
        <f t="shared" ref="F189:AZ189" si="105">SUM(F179,F182:F187)</f>
        <v>-15865755.250000004</v>
      </c>
      <c r="G189" s="270">
        <f t="shared" si="105"/>
        <v>-24198635.608141396</v>
      </c>
      <c r="H189" s="270">
        <f t="shared" si="105"/>
        <v>-5558278.4678790988</v>
      </c>
      <c r="I189" s="270">
        <f t="shared" si="105"/>
        <v>-1634437.1829469784</v>
      </c>
      <c r="J189" s="270">
        <f t="shared" si="105"/>
        <v>978235.69100241712</v>
      </c>
      <c r="K189" s="270">
        <f t="shared" si="105"/>
        <v>1642236.9946509895</v>
      </c>
      <c r="L189" s="270">
        <f t="shared" si="105"/>
        <v>2765161.4729123982</v>
      </c>
      <c r="M189" s="270">
        <f t="shared" si="105"/>
        <v>3332863.6348616816</v>
      </c>
      <c r="N189" s="270">
        <f t="shared" si="105"/>
        <v>3313210.4145107595</v>
      </c>
      <c r="O189" s="270">
        <f t="shared" si="105"/>
        <v>3090881.5973975426</v>
      </c>
      <c r="P189" s="270">
        <f t="shared" si="105"/>
        <v>3255459.454375321</v>
      </c>
      <c r="Q189" s="270">
        <f t="shared" si="105"/>
        <v>3879896.2658203142</v>
      </c>
      <c r="R189" s="270">
        <f t="shared" si="105"/>
        <v>3858242.1567350803</v>
      </c>
      <c r="S189" s="270">
        <f t="shared" si="105"/>
        <v>3613547.1828050734</v>
      </c>
      <c r="T189" s="270">
        <f t="shared" si="105"/>
        <v>3795946.2748951809</v>
      </c>
      <c r="U189" s="270">
        <f t="shared" si="105"/>
        <v>4482790.3116179751</v>
      </c>
      <c r="V189" s="270">
        <f t="shared" si="105"/>
        <v>4458934.3357575191</v>
      </c>
      <c r="W189" s="270">
        <f t="shared" si="105"/>
        <v>4189637.3590139048</v>
      </c>
      <c r="X189" s="270">
        <f t="shared" si="105"/>
        <v>4391673.8959629387</v>
      </c>
      <c r="Y189" s="270">
        <f t="shared" si="105"/>
        <v>5147164.9690946443</v>
      </c>
      <c r="Z189" s="270">
        <f t="shared" si="105"/>
        <v>5120886.0283847768</v>
      </c>
      <c r="AA189" s="270">
        <f t="shared" si="105"/>
        <v>4824527.8425513059</v>
      </c>
      <c r="AB189" s="270">
        <f t="shared" si="105"/>
        <v>5048200.5072364043</v>
      </c>
      <c r="AC189" s="270">
        <f t="shared" si="105"/>
        <v>5879202.3862363286</v>
      </c>
      <c r="AD189" s="270">
        <f t="shared" si="105"/>
        <v>5850257.250010523</v>
      </c>
      <c r="AE189" s="270">
        <f t="shared" si="105"/>
        <v>5524132.9683654793</v>
      </c>
      <c r="AF189" s="270">
        <f t="shared" si="105"/>
        <v>5771641.18541128</v>
      </c>
      <c r="AG189" s="270">
        <f t="shared" si="105"/>
        <v>6685703.9933301238</v>
      </c>
      <c r="AH189" s="270">
        <f t="shared" si="105"/>
        <v>6653825.0845006621</v>
      </c>
      <c r="AI189" s="270">
        <f t="shared" si="105"/>
        <v>6294959.5886034686</v>
      </c>
      <c r="AJ189" s="270">
        <f t="shared" si="105"/>
        <v>6568723.6203933451</v>
      </c>
      <c r="AK189" s="270">
        <f t="shared" si="105"/>
        <v>7574152.4686484756</v>
      </c>
      <c r="AL189" s="270">
        <f t="shared" si="105"/>
        <v>7539045.4284804678</v>
      </c>
      <c r="AM189" s="270">
        <f t="shared" si="105"/>
        <v>7144166.3627285762</v>
      </c>
      <c r="AN189" s="270">
        <f t="shared" si="105"/>
        <v>7446849.4155629231</v>
      </c>
      <c r="AO189" s="270">
        <f t="shared" si="105"/>
        <v>8552779.9021765646</v>
      </c>
      <c r="AP189" s="270">
        <f t="shared" si="105"/>
        <v>8514120.9115247652</v>
      </c>
      <c r="AQ189" s="270">
        <f t="shared" si="105"/>
        <v>8079628.9781746743</v>
      </c>
      <c r="AR189" s="270">
        <f t="shared" si="105"/>
        <v>8414161.5196045768</v>
      </c>
      <c r="AS189" s="270">
        <f t="shared" si="105"/>
        <v>9630642.7772509251</v>
      </c>
      <c r="AT189" s="270">
        <f t="shared" si="105"/>
        <v>9588075.6099052783</v>
      </c>
      <c r="AU189" s="270">
        <f t="shared" si="105"/>
        <v>9110011.8946576193</v>
      </c>
      <c r="AV189" s="270">
        <f t="shared" si="105"/>
        <v>9479618.4031254351</v>
      </c>
      <c r="AW189" s="270">
        <f t="shared" si="105"/>
        <v>10817345.602396568</v>
      </c>
      <c r="AX189" s="270">
        <f t="shared" si="105"/>
        <v>10772815.312611802</v>
      </c>
      <c r="AY189" s="270">
        <f t="shared" si="105"/>
        <v>10248724.761698075</v>
      </c>
      <c r="AZ189" s="270">
        <f t="shared" si="105"/>
        <v>10655222.328236312</v>
      </c>
      <c r="BC189" s="246" t="str">
        <f>B189</f>
        <v>EBT</v>
      </c>
      <c r="BD189" s="247">
        <f t="shared" ref="BD189:BM189" si="106">BD179+SUM(BD182:BD187)</f>
        <v>-46278870.81796506</v>
      </c>
      <c r="BE189" s="247">
        <f t="shared" si="106"/>
        <v>11053472.516935827</v>
      </c>
      <c r="BF189" s="247">
        <f t="shared" si="106"/>
        <v>14084479.474328257</v>
      </c>
      <c r="BG189" s="247">
        <f t="shared" si="106"/>
        <v>16351218.105075745</v>
      </c>
      <c r="BH189" s="247">
        <f t="shared" si="106"/>
        <v>18849362.252456263</v>
      </c>
      <c r="BI189" s="247">
        <f t="shared" si="106"/>
        <v>21602187.986034561</v>
      </c>
      <c r="BJ189" s="247">
        <f t="shared" si="106"/>
        <v>24635303.231607545</v>
      </c>
      <c r="BK189" s="247">
        <f t="shared" si="106"/>
        <v>27976881.106125753</v>
      </c>
      <c r="BL189" s="247">
        <f t="shared" si="106"/>
        <v>31657916.591992829</v>
      </c>
      <c r="BM189" s="247">
        <f t="shared" si="106"/>
        <v>35712508.884935454</v>
      </c>
    </row>
    <row r="190" spans="1:65" s="65" customFormat="1" ht="20" customHeight="1" x14ac:dyDescent="0.35">
      <c r="A190" s="11"/>
      <c r="B190" s="64"/>
      <c r="D190" s="66"/>
      <c r="E190" s="263"/>
      <c r="F190" s="264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C190" s="243"/>
      <c r="BD190" s="243"/>
      <c r="BE190" s="243"/>
      <c r="BF190" s="243"/>
      <c r="BG190" s="243"/>
      <c r="BH190" s="243"/>
      <c r="BI190" s="243"/>
      <c r="BJ190" s="243"/>
      <c r="BK190" s="243"/>
      <c r="BL190" s="243"/>
      <c r="BM190" s="243"/>
    </row>
    <row r="191" spans="1:65" s="75" customFormat="1" ht="20" hidden="1" customHeight="1" outlineLevel="1" x14ac:dyDescent="0.35">
      <c r="A191" s="11"/>
      <c r="B191" s="62" t="s">
        <v>133</v>
      </c>
      <c r="C191" s="53"/>
      <c r="D191" s="53"/>
      <c r="E191" s="71"/>
      <c r="F191" s="297">
        <f t="shared" ref="F191:AZ191" si="107">IF(F189&lt;0,F189,IF((E192+F189)&lt;F189/2,F189/2,E192+F189))</f>
        <v>-15865755.250000004</v>
      </c>
      <c r="G191" s="298">
        <f>IF(G189&lt;0,G189,IF((F192+G189)&lt;G189/2,G189/2,F192+G189))</f>
        <v>-24198635.608141396</v>
      </c>
      <c r="H191" s="298">
        <f t="shared" si="107"/>
        <v>-5558278.4678790988</v>
      </c>
      <c r="I191" s="298">
        <f t="shared" si="107"/>
        <v>-1634437.1829469784</v>
      </c>
      <c r="J191" s="298">
        <f t="shared" si="107"/>
        <v>489117.84550120856</v>
      </c>
      <c r="K191" s="298">
        <f t="shared" si="107"/>
        <v>821118.49732549477</v>
      </c>
      <c r="L191" s="298">
        <f t="shared" si="107"/>
        <v>1382580.7364561991</v>
      </c>
      <c r="M191" s="298">
        <f t="shared" si="107"/>
        <v>1666431.8174308408</v>
      </c>
      <c r="N191" s="298">
        <f t="shared" si="107"/>
        <v>1656605.2072553798</v>
      </c>
      <c r="O191" s="298">
        <f t="shared" si="107"/>
        <v>1545440.7986987713</v>
      </c>
      <c r="P191" s="298">
        <f t="shared" si="107"/>
        <v>1627729.7271876605</v>
      </c>
      <c r="Q191" s="298">
        <f t="shared" si="107"/>
        <v>1939948.1329101571</v>
      </c>
      <c r="R191" s="298">
        <f t="shared" si="107"/>
        <v>1929121.0783675401</v>
      </c>
      <c r="S191" s="298">
        <f t="shared" si="107"/>
        <v>1806773.5914025367</v>
      </c>
      <c r="T191" s="298">
        <f t="shared" si="107"/>
        <v>1897973.1374475905</v>
      </c>
      <c r="U191" s="298">
        <f t="shared" si="107"/>
        <v>2241395.1558089876</v>
      </c>
      <c r="V191" s="298">
        <f t="shared" si="107"/>
        <v>2229467.1678787596</v>
      </c>
      <c r="W191" s="298">
        <f t="shared" si="107"/>
        <v>2094818.6795069524</v>
      </c>
      <c r="X191" s="298">
        <f t="shared" si="107"/>
        <v>2195836.9479814693</v>
      </c>
      <c r="Y191" s="298">
        <f t="shared" si="107"/>
        <v>2573582.4845473222</v>
      </c>
      <c r="Z191" s="298">
        <f t="shared" si="107"/>
        <v>2560443.0141923884</v>
      </c>
      <c r="AA191" s="298">
        <f t="shared" si="107"/>
        <v>2412263.9212756529</v>
      </c>
      <c r="AB191" s="298">
        <f t="shared" si="107"/>
        <v>2524100.2536182022</v>
      </c>
      <c r="AC191" s="298">
        <f t="shared" si="107"/>
        <v>2939601.1931181643</v>
      </c>
      <c r="AD191" s="298">
        <f t="shared" si="107"/>
        <v>2925128.6250052615</v>
      </c>
      <c r="AE191" s="298">
        <f t="shared" si="107"/>
        <v>2762066.4841827396</v>
      </c>
      <c r="AF191" s="298">
        <f t="shared" si="107"/>
        <v>2885820.59270564</v>
      </c>
      <c r="AG191" s="298">
        <f t="shared" si="107"/>
        <v>6535962.5741675571</v>
      </c>
      <c r="AH191" s="298">
        <f t="shared" si="107"/>
        <v>6653825.0845006621</v>
      </c>
      <c r="AI191" s="298">
        <f t="shared" si="107"/>
        <v>6294959.5886034686</v>
      </c>
      <c r="AJ191" s="298">
        <f t="shared" si="107"/>
        <v>6568723.6203933451</v>
      </c>
      <c r="AK191" s="298">
        <f t="shared" si="107"/>
        <v>7574152.4686484756</v>
      </c>
      <c r="AL191" s="298">
        <f t="shared" si="107"/>
        <v>7539045.4284804678</v>
      </c>
      <c r="AM191" s="298">
        <f t="shared" si="107"/>
        <v>7144166.3627285762</v>
      </c>
      <c r="AN191" s="298">
        <f t="shared" si="107"/>
        <v>7446849.4155629231</v>
      </c>
      <c r="AO191" s="298">
        <f t="shared" si="107"/>
        <v>8552779.9021765646</v>
      </c>
      <c r="AP191" s="298">
        <f t="shared" si="107"/>
        <v>8514120.9115247652</v>
      </c>
      <c r="AQ191" s="298">
        <f t="shared" si="107"/>
        <v>8079628.9781746743</v>
      </c>
      <c r="AR191" s="298">
        <f t="shared" si="107"/>
        <v>8414161.5196045768</v>
      </c>
      <c r="AS191" s="298">
        <f t="shared" si="107"/>
        <v>9630642.7772509251</v>
      </c>
      <c r="AT191" s="298">
        <f t="shared" si="107"/>
        <v>9588075.6099052783</v>
      </c>
      <c r="AU191" s="298">
        <f t="shared" si="107"/>
        <v>9110011.8946576193</v>
      </c>
      <c r="AV191" s="298">
        <f t="shared" si="107"/>
        <v>9479618.4031254351</v>
      </c>
      <c r="AW191" s="298">
        <f t="shared" si="107"/>
        <v>10817345.602396568</v>
      </c>
      <c r="AX191" s="298">
        <f t="shared" si="107"/>
        <v>10772815.312611802</v>
      </c>
      <c r="AY191" s="298">
        <f t="shared" si="107"/>
        <v>10248724.761698075</v>
      </c>
      <c r="AZ191" s="298">
        <f t="shared" si="107"/>
        <v>10655222.328236312</v>
      </c>
      <c r="BC191" s="248"/>
      <c r="BD191" s="248"/>
      <c r="BE191" s="248"/>
      <c r="BF191" s="248"/>
      <c r="BG191" s="248"/>
      <c r="BH191" s="248"/>
      <c r="BI191" s="248"/>
      <c r="BJ191" s="248"/>
      <c r="BK191" s="248"/>
      <c r="BL191" s="248"/>
      <c r="BM191" s="248"/>
    </row>
    <row r="192" spans="1:65" s="75" customFormat="1" ht="20" hidden="1" customHeight="1" outlineLevel="1" x14ac:dyDescent="0.35">
      <c r="A192" s="11"/>
      <c r="B192" s="62" t="s">
        <v>134</v>
      </c>
      <c r="C192" s="53"/>
      <c r="D192" s="53"/>
      <c r="E192" s="71"/>
      <c r="F192" s="297">
        <f t="shared" ref="F192:AZ192" si="108">IF(F189&lt;0,E192+F189,F189-F191+E192)</f>
        <v>-15865755.250000004</v>
      </c>
      <c r="G192" s="298">
        <f>IF(G189&lt;0,F192+G189,G189-G191+F192)</f>
        <v>-40064390.8581414</v>
      </c>
      <c r="H192" s="298">
        <f t="shared" si="108"/>
        <v>-45622669.326020502</v>
      </c>
      <c r="I192" s="298">
        <f t="shared" si="108"/>
        <v>-47257106.508967482</v>
      </c>
      <c r="J192" s="298">
        <f t="shared" si="108"/>
        <v>-46767988.663466275</v>
      </c>
      <c r="K192" s="298">
        <f t="shared" si="108"/>
        <v>-45946870.16614078</v>
      </c>
      <c r="L192" s="298">
        <f t="shared" si="108"/>
        <v>-44564289.429684579</v>
      </c>
      <c r="M192" s="298">
        <f t="shared" si="108"/>
        <v>-42897857.61225374</v>
      </c>
      <c r="N192" s="298">
        <f t="shared" si="108"/>
        <v>-41241252.404998362</v>
      </c>
      <c r="O192" s="298">
        <f t="shared" si="108"/>
        <v>-39695811.606299594</v>
      </c>
      <c r="P192" s="298">
        <f t="shared" si="108"/>
        <v>-38068081.879111931</v>
      </c>
      <c r="Q192" s="298">
        <f t="shared" si="108"/>
        <v>-36128133.746201776</v>
      </c>
      <c r="R192" s="298">
        <f t="shared" si="108"/>
        <v>-34199012.667834237</v>
      </c>
      <c r="S192" s="298">
        <f t="shared" si="108"/>
        <v>-32392239.076431699</v>
      </c>
      <c r="T192" s="298">
        <f t="shared" si="108"/>
        <v>-30494265.938984107</v>
      </c>
      <c r="U192" s="298">
        <f t="shared" si="108"/>
        <v>-28252870.783175118</v>
      </c>
      <c r="V192" s="298">
        <f t="shared" si="108"/>
        <v>-26023403.61529636</v>
      </c>
      <c r="W192" s="298">
        <f t="shared" si="108"/>
        <v>-23928584.935789406</v>
      </c>
      <c r="X192" s="298">
        <f t="shared" si="108"/>
        <v>-21732747.987807937</v>
      </c>
      <c r="Y192" s="298">
        <f t="shared" si="108"/>
        <v>-19159165.503260616</v>
      </c>
      <c r="Z192" s="298">
        <f t="shared" si="108"/>
        <v>-16598722.489068229</v>
      </c>
      <c r="AA192" s="298">
        <f t="shared" si="108"/>
        <v>-14186458.567792576</v>
      </c>
      <c r="AB192" s="298">
        <f t="shared" si="108"/>
        <v>-11662358.314174373</v>
      </c>
      <c r="AC192" s="298">
        <f t="shared" si="108"/>
        <v>-8722757.1210562084</v>
      </c>
      <c r="AD192" s="298">
        <f t="shared" si="108"/>
        <v>-5797628.4960509464</v>
      </c>
      <c r="AE192" s="298">
        <f t="shared" si="108"/>
        <v>-3035562.0118682068</v>
      </c>
      <c r="AF192" s="298">
        <f t="shared" si="108"/>
        <v>-149741.41916256677</v>
      </c>
      <c r="AG192" s="298">
        <f t="shared" si="108"/>
        <v>0</v>
      </c>
      <c r="AH192" s="298">
        <f t="shared" si="108"/>
        <v>0</v>
      </c>
      <c r="AI192" s="298">
        <f t="shared" si="108"/>
        <v>0</v>
      </c>
      <c r="AJ192" s="298">
        <f t="shared" si="108"/>
        <v>0</v>
      </c>
      <c r="AK192" s="298">
        <f t="shared" si="108"/>
        <v>0</v>
      </c>
      <c r="AL192" s="298">
        <f t="shared" si="108"/>
        <v>0</v>
      </c>
      <c r="AM192" s="298">
        <f t="shared" si="108"/>
        <v>0</v>
      </c>
      <c r="AN192" s="298">
        <f t="shared" si="108"/>
        <v>0</v>
      </c>
      <c r="AO192" s="298">
        <f t="shared" si="108"/>
        <v>0</v>
      </c>
      <c r="AP192" s="298">
        <f t="shared" si="108"/>
        <v>0</v>
      </c>
      <c r="AQ192" s="298">
        <f t="shared" si="108"/>
        <v>0</v>
      </c>
      <c r="AR192" s="298">
        <f t="shared" si="108"/>
        <v>0</v>
      </c>
      <c r="AS192" s="298">
        <f t="shared" si="108"/>
        <v>0</v>
      </c>
      <c r="AT192" s="298">
        <f t="shared" si="108"/>
        <v>0</v>
      </c>
      <c r="AU192" s="298">
        <f t="shared" si="108"/>
        <v>0</v>
      </c>
      <c r="AV192" s="298">
        <f t="shared" si="108"/>
        <v>0</v>
      </c>
      <c r="AW192" s="298">
        <f t="shared" si="108"/>
        <v>0</v>
      </c>
      <c r="AX192" s="298">
        <f t="shared" si="108"/>
        <v>0</v>
      </c>
      <c r="AY192" s="298">
        <f t="shared" si="108"/>
        <v>0</v>
      </c>
      <c r="AZ192" s="298">
        <f t="shared" si="108"/>
        <v>0</v>
      </c>
      <c r="BC192" s="248"/>
      <c r="BD192" s="248"/>
      <c r="BE192" s="248"/>
      <c r="BF192" s="248"/>
      <c r="BG192" s="248"/>
      <c r="BH192" s="248"/>
      <c r="BI192" s="248"/>
      <c r="BJ192" s="248"/>
      <c r="BK192" s="248"/>
      <c r="BL192" s="248"/>
      <c r="BM192" s="248"/>
    </row>
    <row r="193" spans="1:65" s="131" customFormat="1" ht="20" customHeight="1" collapsed="1" x14ac:dyDescent="0.35">
      <c r="A193" s="139"/>
      <c r="B193" s="129" t="s">
        <v>135</v>
      </c>
      <c r="C193" s="130"/>
      <c r="D193" s="130"/>
      <c r="E193" s="274"/>
      <c r="F193" s="299">
        <f t="shared" ref="F193:AZ193" si="109">IF(F191&lt;0,0,-1*$C$69*F191)</f>
        <v>0</v>
      </c>
      <c r="G193" s="275">
        <f t="shared" si="109"/>
        <v>0</v>
      </c>
      <c r="H193" s="275">
        <f t="shared" si="109"/>
        <v>0</v>
      </c>
      <c r="I193" s="275">
        <f t="shared" si="109"/>
        <v>0</v>
      </c>
      <c r="J193" s="275">
        <f t="shared" si="109"/>
        <v>-122279.46137530214</v>
      </c>
      <c r="K193" s="275">
        <f t="shared" si="109"/>
        <v>-205279.62433137369</v>
      </c>
      <c r="L193" s="275">
        <f t="shared" si="109"/>
        <v>-345645.18411404977</v>
      </c>
      <c r="M193" s="275">
        <f t="shared" si="109"/>
        <v>-416607.9543577102</v>
      </c>
      <c r="N193" s="275">
        <f t="shared" si="109"/>
        <v>-414151.30181384494</v>
      </c>
      <c r="O193" s="275">
        <f t="shared" si="109"/>
        <v>-386360.19967469282</v>
      </c>
      <c r="P193" s="275">
        <f t="shared" si="109"/>
        <v>-406932.43179691513</v>
      </c>
      <c r="Q193" s="275">
        <f t="shared" si="109"/>
        <v>-484987.03322753927</v>
      </c>
      <c r="R193" s="275">
        <f t="shared" si="109"/>
        <v>-482280.26959188504</v>
      </c>
      <c r="S193" s="275">
        <f t="shared" si="109"/>
        <v>-451693.39785063418</v>
      </c>
      <c r="T193" s="275">
        <f t="shared" si="109"/>
        <v>-474493.28436189762</v>
      </c>
      <c r="U193" s="275">
        <f t="shared" si="109"/>
        <v>-560348.78895224689</v>
      </c>
      <c r="V193" s="275">
        <f t="shared" si="109"/>
        <v>-557366.79196968989</v>
      </c>
      <c r="W193" s="275">
        <f t="shared" si="109"/>
        <v>-523704.6698767381</v>
      </c>
      <c r="X193" s="275">
        <f t="shared" si="109"/>
        <v>-548959.23699536733</v>
      </c>
      <c r="Y193" s="275">
        <f t="shared" si="109"/>
        <v>-643395.62113683054</v>
      </c>
      <c r="Z193" s="275">
        <f t="shared" si="109"/>
        <v>-640110.7535480971</v>
      </c>
      <c r="AA193" s="275">
        <f t="shared" si="109"/>
        <v>-603065.98031891324</v>
      </c>
      <c r="AB193" s="275">
        <f t="shared" si="109"/>
        <v>-631025.06340455054</v>
      </c>
      <c r="AC193" s="275">
        <f t="shared" si="109"/>
        <v>-734900.29827954108</v>
      </c>
      <c r="AD193" s="275">
        <f t="shared" si="109"/>
        <v>-731282.15625131538</v>
      </c>
      <c r="AE193" s="275">
        <f t="shared" si="109"/>
        <v>-690516.62104568491</v>
      </c>
      <c r="AF193" s="275">
        <f t="shared" si="109"/>
        <v>-721455.14817641</v>
      </c>
      <c r="AG193" s="275">
        <f t="shared" si="109"/>
        <v>-1633990.6435418893</v>
      </c>
      <c r="AH193" s="275">
        <f t="shared" si="109"/>
        <v>-1663456.2711251655</v>
      </c>
      <c r="AI193" s="275">
        <f t="shared" si="109"/>
        <v>-1573739.8971508672</v>
      </c>
      <c r="AJ193" s="275">
        <f t="shared" si="109"/>
        <v>-1642180.9050983363</v>
      </c>
      <c r="AK193" s="275">
        <f t="shared" si="109"/>
        <v>-1893538.1171621189</v>
      </c>
      <c r="AL193" s="275">
        <f t="shared" si="109"/>
        <v>-1884761.3571201169</v>
      </c>
      <c r="AM193" s="275">
        <f t="shared" si="109"/>
        <v>-1786041.590682144</v>
      </c>
      <c r="AN193" s="275">
        <f t="shared" si="109"/>
        <v>-1861712.3538907308</v>
      </c>
      <c r="AO193" s="275">
        <f t="shared" si="109"/>
        <v>-2138194.9755441411</v>
      </c>
      <c r="AP193" s="275">
        <f t="shared" si="109"/>
        <v>-2128530.2278811913</v>
      </c>
      <c r="AQ193" s="275">
        <f t="shared" si="109"/>
        <v>-2019907.2445436686</v>
      </c>
      <c r="AR193" s="275">
        <f t="shared" si="109"/>
        <v>-2103540.3799011442</v>
      </c>
      <c r="AS193" s="275">
        <f t="shared" si="109"/>
        <v>-2407660.6943127313</v>
      </c>
      <c r="AT193" s="275">
        <f t="shared" si="109"/>
        <v>-2397018.9024763196</v>
      </c>
      <c r="AU193" s="275">
        <f t="shared" si="109"/>
        <v>-2277502.9736644048</v>
      </c>
      <c r="AV193" s="275">
        <f t="shared" si="109"/>
        <v>-2369904.6007813588</v>
      </c>
      <c r="AW193" s="275">
        <f t="shared" si="109"/>
        <v>-2704336.4005991421</v>
      </c>
      <c r="AX193" s="275">
        <f t="shared" si="109"/>
        <v>-2693203.8281529504</v>
      </c>
      <c r="AY193" s="275">
        <f t="shared" si="109"/>
        <v>-2562181.1904245187</v>
      </c>
      <c r="AZ193" s="275">
        <f t="shared" si="109"/>
        <v>-2663805.5820590779</v>
      </c>
      <c r="BC193" s="245" t="str">
        <f>B193</f>
        <v>Налог на прибыль (ОСНО)</v>
      </c>
      <c r="BD193" s="235">
        <f t="shared" ref="BD193:BM193" si="110">SUMIF($F$98:$AZ$98,BD$164,$F193:$AZ193)</f>
        <v>-122279.46137530214</v>
      </c>
      <c r="BE193" s="235">
        <f t="shared" si="110"/>
        <v>-1381684.0646169786</v>
      </c>
      <c r="BF193" s="235">
        <f t="shared" si="110"/>
        <v>-1760559.9342910321</v>
      </c>
      <c r="BG193" s="235">
        <f t="shared" si="110"/>
        <v>-2043902.2631344688</v>
      </c>
      <c r="BH193" s="235">
        <f t="shared" si="110"/>
        <v>-2356170.2815570328</v>
      </c>
      <c r="BI193" s="235">
        <f t="shared" si="110"/>
        <v>-2700273.4982543201</v>
      </c>
      <c r="BJ193" s="235">
        <f t="shared" si="110"/>
        <v>-4709418.6838891497</v>
      </c>
      <c r="BK193" s="235">
        <f t="shared" si="110"/>
        <v>-6994220.2765314393</v>
      </c>
      <c r="BL193" s="235">
        <f t="shared" si="110"/>
        <v>-7914479.1479982072</v>
      </c>
      <c r="BM193" s="235">
        <f t="shared" si="110"/>
        <v>-8928127.2212338634</v>
      </c>
    </row>
    <row r="194" spans="1:65" s="75" customFormat="1" ht="20" hidden="1" customHeight="1" outlineLevel="1" x14ac:dyDescent="0.35">
      <c r="A194" s="11"/>
      <c r="B194" s="62"/>
      <c r="C194" s="53"/>
      <c r="D194" s="53"/>
      <c r="E194" s="71"/>
      <c r="F194" s="276"/>
      <c r="G194" s="122"/>
      <c r="H194" s="277"/>
      <c r="I194" s="122"/>
      <c r="J194" s="122"/>
      <c r="K194" s="278"/>
      <c r="L194" s="278"/>
      <c r="M194" s="278"/>
      <c r="N194" s="278"/>
      <c r="O194" s="278"/>
      <c r="P194" s="278"/>
      <c r="Q194" s="278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278"/>
      <c r="AI194" s="278"/>
      <c r="AJ194" s="122"/>
      <c r="AK194" s="122"/>
      <c r="AL194" s="122"/>
      <c r="AM194" s="278"/>
      <c r="AN194" s="122"/>
      <c r="AO194" s="122"/>
      <c r="AP194" s="278"/>
      <c r="AQ194" s="278"/>
      <c r="AR194" s="278"/>
      <c r="AS194" s="122"/>
      <c r="AT194" s="122"/>
      <c r="AU194" s="122"/>
      <c r="AV194" s="277"/>
      <c r="AW194" s="122"/>
      <c r="AX194" s="122"/>
      <c r="AY194" s="122"/>
      <c r="AZ194" s="122"/>
      <c r="BC194" s="248"/>
      <c r="BD194" s="248"/>
      <c r="BE194" s="248"/>
      <c r="BF194" s="248"/>
      <c r="BG194" s="248"/>
      <c r="BH194" s="248"/>
      <c r="BI194" s="248"/>
      <c r="BJ194" s="248"/>
      <c r="BK194" s="248"/>
      <c r="BL194" s="248"/>
      <c r="BM194" s="248"/>
    </row>
    <row r="195" spans="1:65" ht="20" customHeight="1" collapsed="1" x14ac:dyDescent="0.35">
      <c r="B195" s="70" t="s">
        <v>57</v>
      </c>
      <c r="C195" s="53"/>
      <c r="D195" s="53"/>
      <c r="E195" s="71"/>
      <c r="F195" s="269">
        <f t="shared" ref="F195:AZ195" si="111">F119</f>
        <v>70000000</v>
      </c>
      <c r="G195" s="122">
        <f t="shared" si="111"/>
        <v>60000000</v>
      </c>
      <c r="H195" s="122">
        <f t="shared" si="111"/>
        <v>50000000</v>
      </c>
      <c r="I195" s="122">
        <f t="shared" si="111"/>
        <v>50000000</v>
      </c>
      <c r="J195" s="122">
        <f t="shared" si="111"/>
        <v>35000000</v>
      </c>
      <c r="K195" s="122">
        <f t="shared" si="111"/>
        <v>0</v>
      </c>
      <c r="L195" s="122">
        <f t="shared" si="111"/>
        <v>0</v>
      </c>
      <c r="M195" s="122">
        <f t="shared" si="111"/>
        <v>0</v>
      </c>
      <c r="N195" s="122">
        <f t="shared" si="111"/>
        <v>0</v>
      </c>
      <c r="O195" s="122">
        <f t="shared" si="111"/>
        <v>0</v>
      </c>
      <c r="P195" s="122">
        <f t="shared" si="111"/>
        <v>0</v>
      </c>
      <c r="Q195" s="122">
        <f t="shared" si="111"/>
        <v>0</v>
      </c>
      <c r="R195" s="122">
        <f t="shared" si="111"/>
        <v>0</v>
      </c>
      <c r="S195" s="122">
        <f t="shared" si="111"/>
        <v>0</v>
      </c>
      <c r="T195" s="122">
        <f t="shared" si="111"/>
        <v>0</v>
      </c>
      <c r="U195" s="122">
        <f t="shared" si="111"/>
        <v>0</v>
      </c>
      <c r="V195" s="122">
        <f t="shared" si="111"/>
        <v>0</v>
      </c>
      <c r="W195" s="122">
        <f t="shared" si="111"/>
        <v>0</v>
      </c>
      <c r="X195" s="122">
        <f t="shared" si="111"/>
        <v>0</v>
      </c>
      <c r="Y195" s="122">
        <f t="shared" si="111"/>
        <v>0</v>
      </c>
      <c r="Z195" s="122">
        <f t="shared" si="111"/>
        <v>0</v>
      </c>
      <c r="AA195" s="122">
        <f t="shared" si="111"/>
        <v>0</v>
      </c>
      <c r="AB195" s="122">
        <f t="shared" si="111"/>
        <v>0</v>
      </c>
      <c r="AC195" s="122">
        <f t="shared" si="111"/>
        <v>0</v>
      </c>
      <c r="AD195" s="122">
        <f t="shared" si="111"/>
        <v>0</v>
      </c>
      <c r="AE195" s="122">
        <f t="shared" si="111"/>
        <v>0</v>
      </c>
      <c r="AF195" s="122">
        <f t="shared" si="111"/>
        <v>0</v>
      </c>
      <c r="AG195" s="122">
        <f t="shared" si="111"/>
        <v>0</v>
      </c>
      <c r="AH195" s="122">
        <f t="shared" si="111"/>
        <v>0</v>
      </c>
      <c r="AI195" s="122">
        <f t="shared" si="111"/>
        <v>0</v>
      </c>
      <c r="AJ195" s="122">
        <f t="shared" si="111"/>
        <v>0</v>
      </c>
      <c r="AK195" s="122">
        <f t="shared" si="111"/>
        <v>0</v>
      </c>
      <c r="AL195" s="122">
        <f t="shared" si="111"/>
        <v>0</v>
      </c>
      <c r="AM195" s="122">
        <f t="shared" si="111"/>
        <v>0</v>
      </c>
      <c r="AN195" s="122">
        <f t="shared" si="111"/>
        <v>0</v>
      </c>
      <c r="AO195" s="122">
        <f t="shared" si="111"/>
        <v>0</v>
      </c>
      <c r="AP195" s="122">
        <f t="shared" si="111"/>
        <v>0</v>
      </c>
      <c r="AQ195" s="122">
        <f t="shared" si="111"/>
        <v>0</v>
      </c>
      <c r="AR195" s="122">
        <f t="shared" si="111"/>
        <v>0</v>
      </c>
      <c r="AS195" s="122">
        <f t="shared" si="111"/>
        <v>0</v>
      </c>
      <c r="AT195" s="122">
        <f t="shared" si="111"/>
        <v>0</v>
      </c>
      <c r="AU195" s="122">
        <f t="shared" si="111"/>
        <v>0</v>
      </c>
      <c r="AV195" s="122">
        <f t="shared" si="111"/>
        <v>0</v>
      </c>
      <c r="AW195" s="122">
        <f t="shared" si="111"/>
        <v>0</v>
      </c>
      <c r="AX195" s="122">
        <f t="shared" si="111"/>
        <v>0</v>
      </c>
      <c r="AY195" s="122">
        <f t="shared" si="111"/>
        <v>0</v>
      </c>
      <c r="AZ195" s="122">
        <f t="shared" si="111"/>
        <v>0</v>
      </c>
      <c r="BC195" s="245" t="str">
        <f>B195</f>
        <v>Привлечение капитала</v>
      </c>
      <c r="BD195" s="235">
        <f t="shared" ref="BD195:BM197" si="112">SUMIF($F$98:$AZ$98,BD$164,$F195:$AZ195)</f>
        <v>265000000</v>
      </c>
      <c r="BE195" s="235">
        <f t="shared" si="112"/>
        <v>0</v>
      </c>
      <c r="BF195" s="235">
        <f t="shared" si="112"/>
        <v>0</v>
      </c>
      <c r="BG195" s="235">
        <f t="shared" si="112"/>
        <v>0</v>
      </c>
      <c r="BH195" s="235">
        <f t="shared" si="112"/>
        <v>0</v>
      </c>
      <c r="BI195" s="235">
        <f t="shared" si="112"/>
        <v>0</v>
      </c>
      <c r="BJ195" s="235">
        <f t="shared" si="112"/>
        <v>0</v>
      </c>
      <c r="BK195" s="235">
        <f t="shared" si="112"/>
        <v>0</v>
      </c>
      <c r="BL195" s="235">
        <f t="shared" si="112"/>
        <v>0</v>
      </c>
      <c r="BM195" s="235">
        <f t="shared" si="112"/>
        <v>0</v>
      </c>
    </row>
    <row r="196" spans="1:65" ht="20" customHeight="1" x14ac:dyDescent="0.35">
      <c r="B196" s="70" t="s">
        <v>76</v>
      </c>
      <c r="C196" s="53"/>
      <c r="D196" s="53"/>
      <c r="E196" s="71"/>
      <c r="F196" s="269">
        <f t="shared" ref="F196:AZ196" si="113">F141+F158</f>
        <v>50000000</v>
      </c>
      <c r="G196" s="122">
        <f t="shared" si="113"/>
        <v>0</v>
      </c>
      <c r="H196" s="122">
        <f t="shared" si="113"/>
        <v>0</v>
      </c>
      <c r="I196" s="122">
        <f t="shared" si="113"/>
        <v>0</v>
      </c>
      <c r="J196" s="122">
        <f t="shared" si="113"/>
        <v>0</v>
      </c>
      <c r="K196" s="122">
        <f t="shared" si="113"/>
        <v>0</v>
      </c>
      <c r="L196" s="122">
        <f t="shared" si="113"/>
        <v>0</v>
      </c>
      <c r="M196" s="122">
        <f t="shared" si="113"/>
        <v>0</v>
      </c>
      <c r="N196" s="122">
        <f t="shared" si="113"/>
        <v>0</v>
      </c>
      <c r="O196" s="122">
        <f t="shared" si="113"/>
        <v>0</v>
      </c>
      <c r="P196" s="122">
        <f t="shared" si="113"/>
        <v>0</v>
      </c>
      <c r="Q196" s="122">
        <f t="shared" si="113"/>
        <v>0</v>
      </c>
      <c r="R196" s="122">
        <f t="shared" si="113"/>
        <v>0</v>
      </c>
      <c r="S196" s="122">
        <f t="shared" si="113"/>
        <v>0</v>
      </c>
      <c r="T196" s="122">
        <f t="shared" si="113"/>
        <v>0</v>
      </c>
      <c r="U196" s="122">
        <f t="shared" si="113"/>
        <v>0</v>
      </c>
      <c r="V196" s="122">
        <f t="shared" si="113"/>
        <v>0</v>
      </c>
      <c r="W196" s="122">
        <f t="shared" si="113"/>
        <v>0</v>
      </c>
      <c r="X196" s="122">
        <f t="shared" si="113"/>
        <v>0</v>
      </c>
      <c r="Y196" s="122">
        <f t="shared" si="113"/>
        <v>0</v>
      </c>
      <c r="Z196" s="122">
        <f t="shared" si="113"/>
        <v>0</v>
      </c>
      <c r="AA196" s="122">
        <f t="shared" si="113"/>
        <v>0</v>
      </c>
      <c r="AB196" s="122">
        <f t="shared" si="113"/>
        <v>0</v>
      </c>
      <c r="AC196" s="122">
        <f t="shared" si="113"/>
        <v>0</v>
      </c>
      <c r="AD196" s="122">
        <f t="shared" si="113"/>
        <v>0</v>
      </c>
      <c r="AE196" s="122">
        <f t="shared" si="113"/>
        <v>0</v>
      </c>
      <c r="AF196" s="122">
        <f t="shared" si="113"/>
        <v>0</v>
      </c>
      <c r="AG196" s="122">
        <f t="shared" si="113"/>
        <v>0</v>
      </c>
      <c r="AH196" s="122">
        <f t="shared" si="113"/>
        <v>0</v>
      </c>
      <c r="AI196" s="122">
        <f t="shared" si="113"/>
        <v>0</v>
      </c>
      <c r="AJ196" s="122">
        <f t="shared" si="113"/>
        <v>0</v>
      </c>
      <c r="AK196" s="122">
        <f t="shared" si="113"/>
        <v>0</v>
      </c>
      <c r="AL196" s="122">
        <f t="shared" si="113"/>
        <v>0</v>
      </c>
      <c r="AM196" s="122">
        <f t="shared" si="113"/>
        <v>0</v>
      </c>
      <c r="AN196" s="122">
        <f t="shared" si="113"/>
        <v>0</v>
      </c>
      <c r="AO196" s="122">
        <f t="shared" si="113"/>
        <v>0</v>
      </c>
      <c r="AP196" s="122">
        <f t="shared" si="113"/>
        <v>0</v>
      </c>
      <c r="AQ196" s="122">
        <f t="shared" si="113"/>
        <v>0</v>
      </c>
      <c r="AR196" s="122">
        <f t="shared" si="113"/>
        <v>0</v>
      </c>
      <c r="AS196" s="122">
        <f t="shared" si="113"/>
        <v>0</v>
      </c>
      <c r="AT196" s="122">
        <f t="shared" si="113"/>
        <v>0</v>
      </c>
      <c r="AU196" s="122">
        <f t="shared" si="113"/>
        <v>0</v>
      </c>
      <c r="AV196" s="122">
        <f t="shared" si="113"/>
        <v>0</v>
      </c>
      <c r="AW196" s="122">
        <f t="shared" si="113"/>
        <v>0</v>
      </c>
      <c r="AX196" s="122">
        <f t="shared" si="113"/>
        <v>0</v>
      </c>
      <c r="AY196" s="122">
        <f t="shared" si="113"/>
        <v>0</v>
      </c>
      <c r="AZ196" s="122">
        <f t="shared" si="113"/>
        <v>0</v>
      </c>
      <c r="BC196" s="245" t="str">
        <f>B196</f>
        <v>Привлечение долга</v>
      </c>
      <c r="BD196" s="235">
        <f t="shared" si="112"/>
        <v>50000000</v>
      </c>
      <c r="BE196" s="235">
        <f t="shared" si="112"/>
        <v>0</v>
      </c>
      <c r="BF196" s="235">
        <f t="shared" si="112"/>
        <v>0</v>
      </c>
      <c r="BG196" s="235">
        <f t="shared" si="112"/>
        <v>0</v>
      </c>
      <c r="BH196" s="235">
        <f t="shared" si="112"/>
        <v>0</v>
      </c>
      <c r="BI196" s="235">
        <f t="shared" si="112"/>
        <v>0</v>
      </c>
      <c r="BJ196" s="235">
        <f t="shared" si="112"/>
        <v>0</v>
      </c>
      <c r="BK196" s="235">
        <f t="shared" si="112"/>
        <v>0</v>
      </c>
      <c r="BL196" s="235">
        <f t="shared" si="112"/>
        <v>0</v>
      </c>
      <c r="BM196" s="235">
        <f t="shared" si="112"/>
        <v>0</v>
      </c>
    </row>
    <row r="197" spans="1:65" ht="20" customHeight="1" x14ac:dyDescent="0.35">
      <c r="B197" s="70" t="s">
        <v>149</v>
      </c>
      <c r="C197" s="53"/>
      <c r="D197" s="53"/>
      <c r="E197" s="71"/>
      <c r="F197" s="269">
        <f t="shared" ref="F197:AZ197" si="114">F142+F159</f>
        <v>0</v>
      </c>
      <c r="G197" s="122">
        <f t="shared" si="114"/>
        <v>-15021727.401639346</v>
      </c>
      <c r="H197" s="122">
        <f t="shared" si="114"/>
        <v>-9745292.1454918049</v>
      </c>
      <c r="I197" s="122">
        <f t="shared" si="114"/>
        <v>-9745292.1454918049</v>
      </c>
      <c r="J197" s="122">
        <f t="shared" si="114"/>
        <v>-7387009.3586065583</v>
      </c>
      <c r="K197" s="122">
        <f t="shared" si="114"/>
        <v>-18020592.894963119</v>
      </c>
      <c r="L197" s="122">
        <f t="shared" si="114"/>
        <v>0</v>
      </c>
      <c r="M197" s="122">
        <f t="shared" si="114"/>
        <v>0</v>
      </c>
      <c r="N197" s="122">
        <f t="shared" si="114"/>
        <v>0</v>
      </c>
      <c r="O197" s="122">
        <f t="shared" si="114"/>
        <v>0</v>
      </c>
      <c r="P197" s="122">
        <f t="shared" si="114"/>
        <v>0</v>
      </c>
      <c r="Q197" s="122">
        <f t="shared" si="114"/>
        <v>0</v>
      </c>
      <c r="R197" s="122">
        <f t="shared" si="114"/>
        <v>0</v>
      </c>
      <c r="S197" s="122">
        <f t="shared" si="114"/>
        <v>0</v>
      </c>
      <c r="T197" s="122">
        <f t="shared" si="114"/>
        <v>0</v>
      </c>
      <c r="U197" s="122">
        <f t="shared" si="114"/>
        <v>0</v>
      </c>
      <c r="V197" s="122">
        <f t="shared" si="114"/>
        <v>0</v>
      </c>
      <c r="W197" s="122">
        <f t="shared" si="114"/>
        <v>0</v>
      </c>
      <c r="X197" s="122">
        <f t="shared" si="114"/>
        <v>0</v>
      </c>
      <c r="Y197" s="122">
        <f t="shared" si="114"/>
        <v>0</v>
      </c>
      <c r="Z197" s="122">
        <f t="shared" si="114"/>
        <v>0</v>
      </c>
      <c r="AA197" s="122">
        <f t="shared" si="114"/>
        <v>0</v>
      </c>
      <c r="AB197" s="122">
        <f t="shared" si="114"/>
        <v>0</v>
      </c>
      <c r="AC197" s="122">
        <f t="shared" si="114"/>
        <v>0</v>
      </c>
      <c r="AD197" s="122">
        <f t="shared" si="114"/>
        <v>0</v>
      </c>
      <c r="AE197" s="122">
        <f t="shared" si="114"/>
        <v>0</v>
      </c>
      <c r="AF197" s="122">
        <f t="shared" si="114"/>
        <v>0</v>
      </c>
      <c r="AG197" s="122">
        <f t="shared" si="114"/>
        <v>0</v>
      </c>
      <c r="AH197" s="122">
        <f t="shared" si="114"/>
        <v>0</v>
      </c>
      <c r="AI197" s="122">
        <f t="shared" si="114"/>
        <v>0</v>
      </c>
      <c r="AJ197" s="122">
        <f t="shared" si="114"/>
        <v>0</v>
      </c>
      <c r="AK197" s="122">
        <f t="shared" si="114"/>
        <v>0</v>
      </c>
      <c r="AL197" s="122">
        <f t="shared" si="114"/>
        <v>0</v>
      </c>
      <c r="AM197" s="122">
        <f t="shared" si="114"/>
        <v>0</v>
      </c>
      <c r="AN197" s="122">
        <f t="shared" si="114"/>
        <v>0</v>
      </c>
      <c r="AO197" s="122">
        <f t="shared" si="114"/>
        <v>0</v>
      </c>
      <c r="AP197" s="122">
        <f t="shared" si="114"/>
        <v>0</v>
      </c>
      <c r="AQ197" s="122">
        <f t="shared" si="114"/>
        <v>0</v>
      </c>
      <c r="AR197" s="122">
        <f t="shared" si="114"/>
        <v>0</v>
      </c>
      <c r="AS197" s="122">
        <f t="shared" si="114"/>
        <v>0</v>
      </c>
      <c r="AT197" s="122">
        <f t="shared" si="114"/>
        <v>0</v>
      </c>
      <c r="AU197" s="122">
        <f t="shared" si="114"/>
        <v>0</v>
      </c>
      <c r="AV197" s="122">
        <f t="shared" si="114"/>
        <v>0</v>
      </c>
      <c r="AW197" s="122">
        <f t="shared" si="114"/>
        <v>0</v>
      </c>
      <c r="AX197" s="122">
        <f t="shared" si="114"/>
        <v>0</v>
      </c>
      <c r="AY197" s="122">
        <f t="shared" si="114"/>
        <v>0</v>
      </c>
      <c r="AZ197" s="122">
        <f t="shared" si="114"/>
        <v>0</v>
      </c>
      <c r="BC197" s="245" t="str">
        <f>B197</f>
        <v xml:space="preserve">Погашение долга </v>
      </c>
      <c r="BD197" s="235">
        <f t="shared" si="112"/>
        <v>-41899321.051229522</v>
      </c>
      <c r="BE197" s="235">
        <f t="shared" si="112"/>
        <v>-18020592.894963119</v>
      </c>
      <c r="BF197" s="235">
        <f t="shared" si="112"/>
        <v>0</v>
      </c>
      <c r="BG197" s="235">
        <f t="shared" si="112"/>
        <v>0</v>
      </c>
      <c r="BH197" s="235">
        <f t="shared" si="112"/>
        <v>0</v>
      </c>
      <c r="BI197" s="235">
        <f t="shared" si="112"/>
        <v>0</v>
      </c>
      <c r="BJ197" s="235">
        <f t="shared" si="112"/>
        <v>0</v>
      </c>
      <c r="BK197" s="235">
        <f t="shared" si="112"/>
        <v>0</v>
      </c>
      <c r="BL197" s="235">
        <f t="shared" si="112"/>
        <v>0</v>
      </c>
      <c r="BM197" s="235">
        <f t="shared" si="112"/>
        <v>0</v>
      </c>
    </row>
    <row r="198" spans="1:65" ht="20" customHeight="1" x14ac:dyDescent="0.35">
      <c r="B198" s="70"/>
      <c r="C198" s="53"/>
      <c r="D198" s="53"/>
      <c r="E198" s="71"/>
      <c r="F198" s="269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  <c r="AU198" s="122"/>
      <c r="AV198" s="122"/>
      <c r="AW198" s="122"/>
      <c r="AX198" s="122"/>
      <c r="AY198" s="122"/>
      <c r="AZ198" s="122"/>
      <c r="BC198" s="245"/>
    </row>
    <row r="199" spans="1:65" ht="20" customHeight="1" x14ac:dyDescent="0.35">
      <c r="B199" s="70" t="s">
        <v>74</v>
      </c>
      <c r="C199" s="53"/>
      <c r="D199" s="53"/>
      <c r="E199" s="71"/>
      <c r="F199" s="269">
        <f t="shared" ref="F199:AZ199" si="115">-$N$6*F$116</f>
        <v>-57561111.885245912</v>
      </c>
      <c r="G199" s="122">
        <f t="shared" si="115"/>
        <v>-33577315.266393445</v>
      </c>
      <c r="H199" s="122">
        <f t="shared" si="115"/>
        <v>-33577315.266393445</v>
      </c>
      <c r="I199" s="122">
        <f t="shared" si="115"/>
        <v>-33577315.266393445</v>
      </c>
      <c r="J199" s="122">
        <f t="shared" si="115"/>
        <v>-33577315.266393445</v>
      </c>
      <c r="K199" s="122">
        <f t="shared" si="115"/>
        <v>0</v>
      </c>
      <c r="L199" s="122">
        <f t="shared" si="115"/>
        <v>0</v>
      </c>
      <c r="M199" s="122">
        <f t="shared" si="115"/>
        <v>0</v>
      </c>
      <c r="N199" s="122">
        <f t="shared" si="115"/>
        <v>0</v>
      </c>
      <c r="O199" s="122">
        <f t="shared" si="115"/>
        <v>0</v>
      </c>
      <c r="P199" s="122">
        <f t="shared" si="115"/>
        <v>0</v>
      </c>
      <c r="Q199" s="122">
        <f t="shared" si="115"/>
        <v>0</v>
      </c>
      <c r="R199" s="122">
        <f t="shared" si="115"/>
        <v>0</v>
      </c>
      <c r="S199" s="122">
        <f t="shared" si="115"/>
        <v>0</v>
      </c>
      <c r="T199" s="122">
        <f t="shared" si="115"/>
        <v>0</v>
      </c>
      <c r="U199" s="122">
        <f t="shared" si="115"/>
        <v>0</v>
      </c>
      <c r="V199" s="122">
        <f t="shared" si="115"/>
        <v>0</v>
      </c>
      <c r="W199" s="122">
        <f t="shared" si="115"/>
        <v>0</v>
      </c>
      <c r="X199" s="122">
        <f t="shared" si="115"/>
        <v>0</v>
      </c>
      <c r="Y199" s="122">
        <f t="shared" si="115"/>
        <v>0</v>
      </c>
      <c r="Z199" s="122">
        <f t="shared" si="115"/>
        <v>0</v>
      </c>
      <c r="AA199" s="122">
        <f t="shared" si="115"/>
        <v>0</v>
      </c>
      <c r="AB199" s="122">
        <f t="shared" si="115"/>
        <v>0</v>
      </c>
      <c r="AC199" s="122">
        <f t="shared" si="115"/>
        <v>0</v>
      </c>
      <c r="AD199" s="122">
        <f t="shared" si="115"/>
        <v>0</v>
      </c>
      <c r="AE199" s="122">
        <f t="shared" si="115"/>
        <v>0</v>
      </c>
      <c r="AF199" s="122">
        <f t="shared" si="115"/>
        <v>0</v>
      </c>
      <c r="AG199" s="122">
        <f t="shared" si="115"/>
        <v>0</v>
      </c>
      <c r="AH199" s="122">
        <f t="shared" si="115"/>
        <v>0</v>
      </c>
      <c r="AI199" s="122">
        <f t="shared" si="115"/>
        <v>0</v>
      </c>
      <c r="AJ199" s="122">
        <f t="shared" si="115"/>
        <v>0</v>
      </c>
      <c r="AK199" s="122">
        <f t="shared" si="115"/>
        <v>0</v>
      </c>
      <c r="AL199" s="122">
        <f t="shared" si="115"/>
        <v>0</v>
      </c>
      <c r="AM199" s="122">
        <f t="shared" si="115"/>
        <v>0</v>
      </c>
      <c r="AN199" s="122">
        <f t="shared" si="115"/>
        <v>0</v>
      </c>
      <c r="AO199" s="122">
        <f t="shared" si="115"/>
        <v>0</v>
      </c>
      <c r="AP199" s="122">
        <f t="shared" si="115"/>
        <v>0</v>
      </c>
      <c r="AQ199" s="122">
        <f t="shared" si="115"/>
        <v>0</v>
      </c>
      <c r="AR199" s="122">
        <f t="shared" si="115"/>
        <v>0</v>
      </c>
      <c r="AS199" s="122">
        <f t="shared" si="115"/>
        <v>0</v>
      </c>
      <c r="AT199" s="122">
        <f t="shared" si="115"/>
        <v>0</v>
      </c>
      <c r="AU199" s="122">
        <f t="shared" si="115"/>
        <v>0</v>
      </c>
      <c r="AV199" s="122">
        <f t="shared" si="115"/>
        <v>0</v>
      </c>
      <c r="AW199" s="122">
        <f t="shared" si="115"/>
        <v>0</v>
      </c>
      <c r="AX199" s="122">
        <f t="shared" si="115"/>
        <v>0</v>
      </c>
      <c r="AY199" s="122">
        <f t="shared" si="115"/>
        <v>0</v>
      </c>
      <c r="AZ199" s="122">
        <f t="shared" si="115"/>
        <v>0</v>
      </c>
      <c r="BC199" s="245" t="str">
        <f t="shared" ref="BC199:BC204" si="116">B199</f>
        <v>Покупка объекта</v>
      </c>
      <c r="BD199" s="235">
        <f t="shared" ref="BD199:BM204" si="117">SUMIF($F$98:$AZ$98,BD$164,$F199:$AZ199)</f>
        <v>-191870372.9508197</v>
      </c>
      <c r="BE199" s="235">
        <f t="shared" si="117"/>
        <v>0</v>
      </c>
      <c r="BF199" s="235">
        <f t="shared" si="117"/>
        <v>0</v>
      </c>
      <c r="BG199" s="235">
        <f t="shared" si="117"/>
        <v>0</v>
      </c>
      <c r="BH199" s="235">
        <f t="shared" si="117"/>
        <v>0</v>
      </c>
      <c r="BI199" s="235">
        <f t="shared" si="117"/>
        <v>0</v>
      </c>
      <c r="BJ199" s="235">
        <f t="shared" si="117"/>
        <v>0</v>
      </c>
      <c r="BK199" s="235">
        <f t="shared" si="117"/>
        <v>0</v>
      </c>
      <c r="BL199" s="235">
        <f t="shared" si="117"/>
        <v>0</v>
      </c>
      <c r="BM199" s="235">
        <f t="shared" si="117"/>
        <v>0</v>
      </c>
    </row>
    <row r="200" spans="1:65" ht="20" customHeight="1" x14ac:dyDescent="0.35">
      <c r="B200" s="70" t="s">
        <v>128</v>
      </c>
      <c r="C200" s="73"/>
      <c r="D200" s="74"/>
      <c r="E200" s="272"/>
      <c r="F200" s="269">
        <f t="shared" ref="F200:AZ200" si="118">-F102/SUM($F$102:$AT$102)*$N$7</f>
        <v>-10719467.213114753</v>
      </c>
      <c r="G200" s="122">
        <f t="shared" si="118"/>
        <v>-10719467.213114753</v>
      </c>
      <c r="H200" s="122">
        <f t="shared" si="118"/>
        <v>-10719467.213114753</v>
      </c>
      <c r="I200" s="122">
        <f t="shared" si="118"/>
        <v>0</v>
      </c>
      <c r="J200" s="122">
        <f t="shared" si="118"/>
        <v>0</v>
      </c>
      <c r="K200" s="122">
        <f t="shared" si="118"/>
        <v>0</v>
      </c>
      <c r="L200" s="122">
        <f t="shared" si="118"/>
        <v>0</v>
      </c>
      <c r="M200" s="122">
        <f t="shared" si="118"/>
        <v>0</v>
      </c>
      <c r="N200" s="122">
        <f t="shared" si="118"/>
        <v>0</v>
      </c>
      <c r="O200" s="122">
        <f t="shared" si="118"/>
        <v>0</v>
      </c>
      <c r="P200" s="122">
        <f t="shared" si="118"/>
        <v>0</v>
      </c>
      <c r="Q200" s="122">
        <f t="shared" si="118"/>
        <v>0</v>
      </c>
      <c r="R200" s="122">
        <f t="shared" si="118"/>
        <v>0</v>
      </c>
      <c r="S200" s="122">
        <f t="shared" si="118"/>
        <v>0</v>
      </c>
      <c r="T200" s="122">
        <f t="shared" si="118"/>
        <v>0</v>
      </c>
      <c r="U200" s="122">
        <f t="shared" si="118"/>
        <v>0</v>
      </c>
      <c r="V200" s="122">
        <f t="shared" si="118"/>
        <v>0</v>
      </c>
      <c r="W200" s="122">
        <f t="shared" si="118"/>
        <v>0</v>
      </c>
      <c r="X200" s="122">
        <f t="shared" si="118"/>
        <v>0</v>
      </c>
      <c r="Y200" s="122">
        <f t="shared" si="118"/>
        <v>0</v>
      </c>
      <c r="Z200" s="122">
        <f t="shared" si="118"/>
        <v>0</v>
      </c>
      <c r="AA200" s="122">
        <f t="shared" si="118"/>
        <v>0</v>
      </c>
      <c r="AB200" s="122">
        <f t="shared" si="118"/>
        <v>0</v>
      </c>
      <c r="AC200" s="122">
        <f t="shared" si="118"/>
        <v>0</v>
      </c>
      <c r="AD200" s="122">
        <f t="shared" si="118"/>
        <v>0</v>
      </c>
      <c r="AE200" s="122">
        <f t="shared" si="118"/>
        <v>0</v>
      </c>
      <c r="AF200" s="122">
        <f t="shared" si="118"/>
        <v>0</v>
      </c>
      <c r="AG200" s="122">
        <f t="shared" si="118"/>
        <v>0</v>
      </c>
      <c r="AH200" s="122">
        <f t="shared" si="118"/>
        <v>0</v>
      </c>
      <c r="AI200" s="122">
        <f t="shared" si="118"/>
        <v>0</v>
      </c>
      <c r="AJ200" s="122">
        <f t="shared" si="118"/>
        <v>0</v>
      </c>
      <c r="AK200" s="122">
        <f t="shared" si="118"/>
        <v>0</v>
      </c>
      <c r="AL200" s="122">
        <f t="shared" si="118"/>
        <v>0</v>
      </c>
      <c r="AM200" s="122">
        <f t="shared" si="118"/>
        <v>0</v>
      </c>
      <c r="AN200" s="122">
        <f t="shared" si="118"/>
        <v>0</v>
      </c>
      <c r="AO200" s="122">
        <f t="shared" si="118"/>
        <v>0</v>
      </c>
      <c r="AP200" s="122">
        <f t="shared" si="118"/>
        <v>0</v>
      </c>
      <c r="AQ200" s="122">
        <f t="shared" si="118"/>
        <v>0</v>
      </c>
      <c r="AR200" s="122">
        <f t="shared" si="118"/>
        <v>0</v>
      </c>
      <c r="AS200" s="122">
        <f t="shared" si="118"/>
        <v>0</v>
      </c>
      <c r="AT200" s="122">
        <f t="shared" si="118"/>
        <v>0</v>
      </c>
      <c r="AU200" s="122">
        <f t="shared" si="118"/>
        <v>0</v>
      </c>
      <c r="AV200" s="122">
        <f t="shared" si="118"/>
        <v>0</v>
      </c>
      <c r="AW200" s="122">
        <f t="shared" si="118"/>
        <v>0</v>
      </c>
      <c r="AX200" s="122">
        <f t="shared" si="118"/>
        <v>0</v>
      </c>
      <c r="AY200" s="122">
        <f t="shared" si="118"/>
        <v>0</v>
      </c>
      <c r="AZ200" s="122">
        <f t="shared" si="118"/>
        <v>0</v>
      </c>
      <c r="BC200" s="245" t="str">
        <f t="shared" si="116"/>
        <v>Ремонт офиса</v>
      </c>
      <c r="BD200" s="235">
        <f t="shared" si="117"/>
        <v>-32158401.63934426</v>
      </c>
      <c r="BE200" s="235">
        <f t="shared" si="117"/>
        <v>0</v>
      </c>
      <c r="BF200" s="235">
        <f t="shared" si="117"/>
        <v>0</v>
      </c>
      <c r="BG200" s="235">
        <f t="shared" si="117"/>
        <v>0</v>
      </c>
      <c r="BH200" s="235">
        <f t="shared" si="117"/>
        <v>0</v>
      </c>
      <c r="BI200" s="235">
        <f t="shared" si="117"/>
        <v>0</v>
      </c>
      <c r="BJ200" s="235">
        <f t="shared" si="117"/>
        <v>0</v>
      </c>
      <c r="BK200" s="235">
        <f t="shared" si="117"/>
        <v>0</v>
      </c>
      <c r="BL200" s="235">
        <f t="shared" si="117"/>
        <v>0</v>
      </c>
      <c r="BM200" s="235">
        <f t="shared" si="117"/>
        <v>0</v>
      </c>
    </row>
    <row r="201" spans="1:65" ht="20" customHeight="1" x14ac:dyDescent="0.35">
      <c r="B201" s="70" t="s">
        <v>184</v>
      </c>
      <c r="C201" s="53"/>
      <c r="D201" s="53"/>
      <c r="E201" s="71"/>
      <c r="F201" s="269">
        <f t="shared" ref="F201:AZ201" si="119">-$N$8*F$116</f>
        <v>-12663444.614754101</v>
      </c>
      <c r="G201" s="122">
        <f t="shared" si="119"/>
        <v>-7387009.3586065583</v>
      </c>
      <c r="H201" s="122">
        <f t="shared" si="119"/>
        <v>-7387009.3586065583</v>
      </c>
      <c r="I201" s="122">
        <f t="shared" si="119"/>
        <v>-7387009.3586065583</v>
      </c>
      <c r="J201" s="122">
        <f t="shared" si="119"/>
        <v>-7387009.3586065583</v>
      </c>
      <c r="K201" s="122">
        <f t="shared" si="119"/>
        <v>0</v>
      </c>
      <c r="L201" s="122">
        <f t="shared" si="119"/>
        <v>0</v>
      </c>
      <c r="M201" s="122">
        <f t="shared" si="119"/>
        <v>0</v>
      </c>
      <c r="N201" s="122">
        <f t="shared" si="119"/>
        <v>0</v>
      </c>
      <c r="O201" s="122">
        <f t="shared" si="119"/>
        <v>0</v>
      </c>
      <c r="P201" s="122">
        <f t="shared" si="119"/>
        <v>0</v>
      </c>
      <c r="Q201" s="122">
        <f t="shared" si="119"/>
        <v>0</v>
      </c>
      <c r="R201" s="122">
        <f t="shared" si="119"/>
        <v>0</v>
      </c>
      <c r="S201" s="122">
        <f t="shared" si="119"/>
        <v>0</v>
      </c>
      <c r="T201" s="122">
        <f t="shared" si="119"/>
        <v>0</v>
      </c>
      <c r="U201" s="122">
        <f t="shared" si="119"/>
        <v>0</v>
      </c>
      <c r="V201" s="122">
        <f t="shared" si="119"/>
        <v>0</v>
      </c>
      <c r="W201" s="122">
        <f t="shared" si="119"/>
        <v>0</v>
      </c>
      <c r="X201" s="122">
        <f t="shared" si="119"/>
        <v>0</v>
      </c>
      <c r="Y201" s="122">
        <f t="shared" si="119"/>
        <v>0</v>
      </c>
      <c r="Z201" s="122">
        <f t="shared" si="119"/>
        <v>0</v>
      </c>
      <c r="AA201" s="122">
        <f t="shared" si="119"/>
        <v>0</v>
      </c>
      <c r="AB201" s="122">
        <f t="shared" si="119"/>
        <v>0</v>
      </c>
      <c r="AC201" s="122">
        <f t="shared" si="119"/>
        <v>0</v>
      </c>
      <c r="AD201" s="122">
        <f t="shared" si="119"/>
        <v>0</v>
      </c>
      <c r="AE201" s="122">
        <f t="shared" si="119"/>
        <v>0</v>
      </c>
      <c r="AF201" s="122">
        <f t="shared" si="119"/>
        <v>0</v>
      </c>
      <c r="AG201" s="122">
        <f t="shared" si="119"/>
        <v>0</v>
      </c>
      <c r="AH201" s="122">
        <f t="shared" si="119"/>
        <v>0</v>
      </c>
      <c r="AI201" s="122">
        <f t="shared" si="119"/>
        <v>0</v>
      </c>
      <c r="AJ201" s="122">
        <f t="shared" si="119"/>
        <v>0</v>
      </c>
      <c r="AK201" s="122">
        <f t="shared" si="119"/>
        <v>0</v>
      </c>
      <c r="AL201" s="122">
        <f t="shared" si="119"/>
        <v>0</v>
      </c>
      <c r="AM201" s="122">
        <f t="shared" si="119"/>
        <v>0</v>
      </c>
      <c r="AN201" s="122">
        <f t="shared" si="119"/>
        <v>0</v>
      </c>
      <c r="AO201" s="122">
        <f t="shared" si="119"/>
        <v>0</v>
      </c>
      <c r="AP201" s="122">
        <f t="shared" si="119"/>
        <v>0</v>
      </c>
      <c r="AQ201" s="122">
        <f t="shared" si="119"/>
        <v>0</v>
      </c>
      <c r="AR201" s="122">
        <f t="shared" si="119"/>
        <v>0</v>
      </c>
      <c r="AS201" s="122">
        <f t="shared" si="119"/>
        <v>0</v>
      </c>
      <c r="AT201" s="122">
        <f t="shared" si="119"/>
        <v>0</v>
      </c>
      <c r="AU201" s="122">
        <f t="shared" si="119"/>
        <v>0</v>
      </c>
      <c r="AV201" s="122">
        <f t="shared" si="119"/>
        <v>0</v>
      </c>
      <c r="AW201" s="122">
        <f t="shared" si="119"/>
        <v>0</v>
      </c>
      <c r="AX201" s="122">
        <f t="shared" si="119"/>
        <v>0</v>
      </c>
      <c r="AY201" s="122">
        <f t="shared" si="119"/>
        <v>0</v>
      </c>
      <c r="AZ201" s="122">
        <f t="shared" si="119"/>
        <v>0</v>
      </c>
      <c r="BC201" s="245" t="str">
        <f t="shared" si="116"/>
        <v xml:space="preserve">Уплата НДС с покупки </v>
      </c>
      <c r="BD201" s="235">
        <f t="shared" si="117"/>
        <v>-42211482.049180329</v>
      </c>
      <c r="BE201" s="235">
        <f t="shared" si="117"/>
        <v>0</v>
      </c>
      <c r="BF201" s="235">
        <f t="shared" si="117"/>
        <v>0</v>
      </c>
      <c r="BG201" s="235">
        <f t="shared" si="117"/>
        <v>0</v>
      </c>
      <c r="BH201" s="235">
        <f t="shared" si="117"/>
        <v>0</v>
      </c>
      <c r="BI201" s="235">
        <f t="shared" si="117"/>
        <v>0</v>
      </c>
      <c r="BJ201" s="235">
        <f t="shared" si="117"/>
        <v>0</v>
      </c>
      <c r="BK201" s="235">
        <f t="shared" si="117"/>
        <v>0</v>
      </c>
      <c r="BL201" s="235">
        <f t="shared" si="117"/>
        <v>0</v>
      </c>
      <c r="BM201" s="235">
        <f t="shared" si="117"/>
        <v>0</v>
      </c>
    </row>
    <row r="202" spans="1:65" ht="20" customHeight="1" x14ac:dyDescent="0.35">
      <c r="B202" s="70" t="s">
        <v>185</v>
      </c>
      <c r="C202" s="53"/>
      <c r="D202" s="53"/>
      <c r="E202" s="71"/>
      <c r="F202" s="269">
        <f t="shared" ref="F202:AZ202" si="120">-F102/SUM($F$102:$AT$102)*$N$9</f>
        <v>-2358282.7868852457</v>
      </c>
      <c r="G202" s="122">
        <f t="shared" si="120"/>
        <v>-2358282.7868852457</v>
      </c>
      <c r="H202" s="122">
        <f t="shared" si="120"/>
        <v>-2358282.7868852457</v>
      </c>
      <c r="I202" s="122">
        <f t="shared" si="120"/>
        <v>0</v>
      </c>
      <c r="J202" s="122">
        <f t="shared" si="120"/>
        <v>0</v>
      </c>
      <c r="K202" s="122">
        <f t="shared" si="120"/>
        <v>0</v>
      </c>
      <c r="L202" s="122">
        <f t="shared" si="120"/>
        <v>0</v>
      </c>
      <c r="M202" s="122">
        <f t="shared" si="120"/>
        <v>0</v>
      </c>
      <c r="N202" s="122">
        <f t="shared" si="120"/>
        <v>0</v>
      </c>
      <c r="O202" s="122">
        <f t="shared" si="120"/>
        <v>0</v>
      </c>
      <c r="P202" s="122">
        <f t="shared" si="120"/>
        <v>0</v>
      </c>
      <c r="Q202" s="122">
        <f t="shared" si="120"/>
        <v>0</v>
      </c>
      <c r="R202" s="122">
        <f t="shared" si="120"/>
        <v>0</v>
      </c>
      <c r="S202" s="122">
        <f t="shared" si="120"/>
        <v>0</v>
      </c>
      <c r="T202" s="122">
        <f t="shared" si="120"/>
        <v>0</v>
      </c>
      <c r="U202" s="122">
        <f t="shared" si="120"/>
        <v>0</v>
      </c>
      <c r="V202" s="122">
        <f t="shared" si="120"/>
        <v>0</v>
      </c>
      <c r="W202" s="122">
        <f t="shared" si="120"/>
        <v>0</v>
      </c>
      <c r="X202" s="122">
        <f t="shared" si="120"/>
        <v>0</v>
      </c>
      <c r="Y202" s="122">
        <f t="shared" si="120"/>
        <v>0</v>
      </c>
      <c r="Z202" s="122">
        <f t="shared" si="120"/>
        <v>0</v>
      </c>
      <c r="AA202" s="122">
        <f t="shared" si="120"/>
        <v>0</v>
      </c>
      <c r="AB202" s="122">
        <f t="shared" si="120"/>
        <v>0</v>
      </c>
      <c r="AC202" s="122">
        <f t="shared" si="120"/>
        <v>0</v>
      </c>
      <c r="AD202" s="122">
        <f t="shared" si="120"/>
        <v>0</v>
      </c>
      <c r="AE202" s="122">
        <f t="shared" si="120"/>
        <v>0</v>
      </c>
      <c r="AF202" s="122">
        <f t="shared" si="120"/>
        <v>0</v>
      </c>
      <c r="AG202" s="122">
        <f t="shared" si="120"/>
        <v>0</v>
      </c>
      <c r="AH202" s="122">
        <f t="shared" si="120"/>
        <v>0</v>
      </c>
      <c r="AI202" s="122">
        <f t="shared" si="120"/>
        <v>0</v>
      </c>
      <c r="AJ202" s="122">
        <f t="shared" si="120"/>
        <v>0</v>
      </c>
      <c r="AK202" s="122">
        <f t="shared" si="120"/>
        <v>0</v>
      </c>
      <c r="AL202" s="122">
        <f t="shared" si="120"/>
        <v>0</v>
      </c>
      <c r="AM202" s="122">
        <f t="shared" si="120"/>
        <v>0</v>
      </c>
      <c r="AN202" s="122">
        <f t="shared" si="120"/>
        <v>0</v>
      </c>
      <c r="AO202" s="122">
        <f t="shared" si="120"/>
        <v>0</v>
      </c>
      <c r="AP202" s="122">
        <f t="shared" si="120"/>
        <v>0</v>
      </c>
      <c r="AQ202" s="122">
        <f t="shared" si="120"/>
        <v>0</v>
      </c>
      <c r="AR202" s="122">
        <f t="shared" si="120"/>
        <v>0</v>
      </c>
      <c r="AS202" s="122">
        <f t="shared" si="120"/>
        <v>0</v>
      </c>
      <c r="AT202" s="122">
        <f t="shared" si="120"/>
        <v>0</v>
      </c>
      <c r="AU202" s="122">
        <f t="shared" si="120"/>
        <v>0</v>
      </c>
      <c r="AV202" s="122">
        <f t="shared" si="120"/>
        <v>0</v>
      </c>
      <c r="AW202" s="122">
        <f t="shared" si="120"/>
        <v>0</v>
      </c>
      <c r="AX202" s="122">
        <f t="shared" si="120"/>
        <v>0</v>
      </c>
      <c r="AY202" s="122">
        <f t="shared" si="120"/>
        <v>0</v>
      </c>
      <c r="AZ202" s="122">
        <f t="shared" si="120"/>
        <v>0</v>
      </c>
      <c r="BC202" s="245" t="str">
        <f t="shared" si="116"/>
        <v xml:space="preserve">Уплата НДС с ремонта </v>
      </c>
      <c r="BD202" s="235">
        <f t="shared" si="117"/>
        <v>-7074848.3606557371</v>
      </c>
      <c r="BE202" s="235">
        <f t="shared" si="117"/>
        <v>0</v>
      </c>
      <c r="BF202" s="235">
        <f t="shared" si="117"/>
        <v>0</v>
      </c>
      <c r="BG202" s="235">
        <f t="shared" si="117"/>
        <v>0</v>
      </c>
      <c r="BH202" s="235">
        <f t="shared" si="117"/>
        <v>0</v>
      </c>
      <c r="BI202" s="235">
        <f t="shared" si="117"/>
        <v>0</v>
      </c>
      <c r="BJ202" s="235">
        <f t="shared" si="117"/>
        <v>0</v>
      </c>
      <c r="BK202" s="235">
        <f t="shared" si="117"/>
        <v>0</v>
      </c>
      <c r="BL202" s="235">
        <f t="shared" si="117"/>
        <v>0</v>
      </c>
      <c r="BM202" s="235">
        <f t="shared" si="117"/>
        <v>0</v>
      </c>
    </row>
    <row r="203" spans="1:65" ht="20" customHeight="1" x14ac:dyDescent="0.35">
      <c r="B203" s="70" t="s">
        <v>186</v>
      </c>
      <c r="C203" s="53"/>
      <c r="D203" s="53"/>
      <c r="E203" s="53"/>
      <c r="F203" s="269">
        <v>0</v>
      </c>
      <c r="G203" s="122">
        <f>-F201</f>
        <v>12663444.614754101</v>
      </c>
      <c r="H203" s="122">
        <f t="shared" ref="H203:AZ203" si="121">-G201</f>
        <v>7387009.3586065583</v>
      </c>
      <c r="I203" s="122">
        <f t="shared" si="121"/>
        <v>7387009.3586065583</v>
      </c>
      <c r="J203" s="122">
        <f t="shared" si="121"/>
        <v>7387009.3586065583</v>
      </c>
      <c r="K203" s="122">
        <f t="shared" si="121"/>
        <v>7387009.3586065583</v>
      </c>
      <c r="L203" s="122">
        <f t="shared" si="121"/>
        <v>0</v>
      </c>
      <c r="M203" s="122">
        <f t="shared" si="121"/>
        <v>0</v>
      </c>
      <c r="N203" s="122">
        <f t="shared" si="121"/>
        <v>0</v>
      </c>
      <c r="O203" s="122">
        <f t="shared" si="121"/>
        <v>0</v>
      </c>
      <c r="P203" s="122">
        <f t="shared" si="121"/>
        <v>0</v>
      </c>
      <c r="Q203" s="122">
        <f t="shared" si="121"/>
        <v>0</v>
      </c>
      <c r="R203" s="122">
        <f t="shared" si="121"/>
        <v>0</v>
      </c>
      <c r="S203" s="122">
        <f t="shared" si="121"/>
        <v>0</v>
      </c>
      <c r="T203" s="122">
        <f t="shared" si="121"/>
        <v>0</v>
      </c>
      <c r="U203" s="122">
        <f t="shared" si="121"/>
        <v>0</v>
      </c>
      <c r="V203" s="122">
        <f t="shared" si="121"/>
        <v>0</v>
      </c>
      <c r="W203" s="122">
        <f t="shared" si="121"/>
        <v>0</v>
      </c>
      <c r="X203" s="122">
        <f t="shared" si="121"/>
        <v>0</v>
      </c>
      <c r="Y203" s="122">
        <f t="shared" si="121"/>
        <v>0</v>
      </c>
      <c r="Z203" s="122">
        <f t="shared" si="121"/>
        <v>0</v>
      </c>
      <c r="AA203" s="122">
        <f t="shared" si="121"/>
        <v>0</v>
      </c>
      <c r="AB203" s="122">
        <f t="shared" si="121"/>
        <v>0</v>
      </c>
      <c r="AC203" s="122">
        <f t="shared" si="121"/>
        <v>0</v>
      </c>
      <c r="AD203" s="122">
        <f t="shared" si="121"/>
        <v>0</v>
      </c>
      <c r="AE203" s="122">
        <f t="shared" si="121"/>
        <v>0</v>
      </c>
      <c r="AF203" s="122">
        <f t="shared" si="121"/>
        <v>0</v>
      </c>
      <c r="AG203" s="122">
        <f t="shared" si="121"/>
        <v>0</v>
      </c>
      <c r="AH203" s="122">
        <f t="shared" si="121"/>
        <v>0</v>
      </c>
      <c r="AI203" s="122">
        <f t="shared" si="121"/>
        <v>0</v>
      </c>
      <c r="AJ203" s="122">
        <f t="shared" si="121"/>
        <v>0</v>
      </c>
      <c r="AK203" s="122">
        <f t="shared" si="121"/>
        <v>0</v>
      </c>
      <c r="AL203" s="122">
        <f t="shared" si="121"/>
        <v>0</v>
      </c>
      <c r="AM203" s="122">
        <f t="shared" si="121"/>
        <v>0</v>
      </c>
      <c r="AN203" s="122">
        <f t="shared" si="121"/>
        <v>0</v>
      </c>
      <c r="AO203" s="122">
        <f t="shared" si="121"/>
        <v>0</v>
      </c>
      <c r="AP203" s="122">
        <f t="shared" si="121"/>
        <v>0</v>
      </c>
      <c r="AQ203" s="122">
        <f t="shared" si="121"/>
        <v>0</v>
      </c>
      <c r="AR203" s="122">
        <f t="shared" si="121"/>
        <v>0</v>
      </c>
      <c r="AS203" s="122">
        <f t="shared" si="121"/>
        <v>0</v>
      </c>
      <c r="AT203" s="122">
        <f t="shared" si="121"/>
        <v>0</v>
      </c>
      <c r="AU203" s="122">
        <f t="shared" si="121"/>
        <v>0</v>
      </c>
      <c r="AV203" s="122">
        <f t="shared" si="121"/>
        <v>0</v>
      </c>
      <c r="AW203" s="122">
        <f t="shared" si="121"/>
        <v>0</v>
      </c>
      <c r="AX203" s="122">
        <f t="shared" si="121"/>
        <v>0</v>
      </c>
      <c r="AY203" s="122">
        <f t="shared" si="121"/>
        <v>0</v>
      </c>
      <c r="AZ203" s="122">
        <f t="shared" si="121"/>
        <v>0</v>
      </c>
      <c r="BC203" s="245" t="str">
        <f t="shared" si="116"/>
        <v xml:space="preserve">Возмещение НДС с покупки </v>
      </c>
      <c r="BD203" s="235">
        <f t="shared" si="117"/>
        <v>34824472.690573774</v>
      </c>
      <c r="BE203" s="235">
        <f t="shared" si="117"/>
        <v>7387009.3586065583</v>
      </c>
      <c r="BF203" s="235">
        <f t="shared" si="117"/>
        <v>0</v>
      </c>
      <c r="BG203" s="235">
        <f t="shared" si="117"/>
        <v>0</v>
      </c>
      <c r="BH203" s="235">
        <f t="shared" si="117"/>
        <v>0</v>
      </c>
      <c r="BI203" s="235">
        <f t="shared" si="117"/>
        <v>0</v>
      </c>
      <c r="BJ203" s="235">
        <f t="shared" si="117"/>
        <v>0</v>
      </c>
      <c r="BK203" s="235">
        <f t="shared" si="117"/>
        <v>0</v>
      </c>
      <c r="BL203" s="235">
        <f t="shared" si="117"/>
        <v>0</v>
      </c>
      <c r="BM203" s="235">
        <f t="shared" si="117"/>
        <v>0</v>
      </c>
    </row>
    <row r="204" spans="1:65" ht="20" customHeight="1" x14ac:dyDescent="0.35">
      <c r="B204" s="70" t="s">
        <v>187</v>
      </c>
      <c r="C204" s="53"/>
      <c r="D204" s="53"/>
      <c r="E204" s="53"/>
      <c r="F204" s="269">
        <v>0</v>
      </c>
      <c r="G204" s="122">
        <f>-F202</f>
        <v>2358282.7868852457</v>
      </c>
      <c r="H204" s="122">
        <f t="shared" ref="H204:AZ204" si="122">-G202</f>
        <v>2358282.7868852457</v>
      </c>
      <c r="I204" s="122">
        <f t="shared" si="122"/>
        <v>2358282.7868852457</v>
      </c>
      <c r="J204" s="122">
        <f t="shared" si="122"/>
        <v>0</v>
      </c>
      <c r="K204" s="122">
        <f t="shared" si="122"/>
        <v>0</v>
      </c>
      <c r="L204" s="122">
        <f t="shared" si="122"/>
        <v>0</v>
      </c>
      <c r="M204" s="122">
        <f t="shared" si="122"/>
        <v>0</v>
      </c>
      <c r="N204" s="122">
        <f t="shared" si="122"/>
        <v>0</v>
      </c>
      <c r="O204" s="122">
        <f t="shared" si="122"/>
        <v>0</v>
      </c>
      <c r="P204" s="122">
        <f t="shared" si="122"/>
        <v>0</v>
      </c>
      <c r="Q204" s="122">
        <f t="shared" si="122"/>
        <v>0</v>
      </c>
      <c r="R204" s="122">
        <f t="shared" si="122"/>
        <v>0</v>
      </c>
      <c r="S204" s="122">
        <f t="shared" si="122"/>
        <v>0</v>
      </c>
      <c r="T204" s="122">
        <f t="shared" si="122"/>
        <v>0</v>
      </c>
      <c r="U204" s="122">
        <f t="shared" si="122"/>
        <v>0</v>
      </c>
      <c r="V204" s="122">
        <f t="shared" si="122"/>
        <v>0</v>
      </c>
      <c r="W204" s="122">
        <f t="shared" si="122"/>
        <v>0</v>
      </c>
      <c r="X204" s="122">
        <f t="shared" si="122"/>
        <v>0</v>
      </c>
      <c r="Y204" s="122">
        <f t="shared" si="122"/>
        <v>0</v>
      </c>
      <c r="Z204" s="122">
        <f t="shared" si="122"/>
        <v>0</v>
      </c>
      <c r="AA204" s="122">
        <f t="shared" si="122"/>
        <v>0</v>
      </c>
      <c r="AB204" s="122">
        <f t="shared" si="122"/>
        <v>0</v>
      </c>
      <c r="AC204" s="122">
        <f t="shared" si="122"/>
        <v>0</v>
      </c>
      <c r="AD204" s="122">
        <f t="shared" si="122"/>
        <v>0</v>
      </c>
      <c r="AE204" s="122">
        <f t="shared" si="122"/>
        <v>0</v>
      </c>
      <c r="AF204" s="122">
        <f t="shared" si="122"/>
        <v>0</v>
      </c>
      <c r="AG204" s="122">
        <f t="shared" si="122"/>
        <v>0</v>
      </c>
      <c r="AH204" s="122">
        <f t="shared" si="122"/>
        <v>0</v>
      </c>
      <c r="AI204" s="122">
        <f t="shared" si="122"/>
        <v>0</v>
      </c>
      <c r="AJ204" s="122">
        <f t="shared" si="122"/>
        <v>0</v>
      </c>
      <c r="AK204" s="122">
        <f t="shared" si="122"/>
        <v>0</v>
      </c>
      <c r="AL204" s="122">
        <f t="shared" si="122"/>
        <v>0</v>
      </c>
      <c r="AM204" s="122">
        <f t="shared" si="122"/>
        <v>0</v>
      </c>
      <c r="AN204" s="122">
        <f t="shared" si="122"/>
        <v>0</v>
      </c>
      <c r="AO204" s="122">
        <f t="shared" si="122"/>
        <v>0</v>
      </c>
      <c r="AP204" s="122">
        <f t="shared" si="122"/>
        <v>0</v>
      </c>
      <c r="AQ204" s="122">
        <f t="shared" si="122"/>
        <v>0</v>
      </c>
      <c r="AR204" s="122">
        <f t="shared" si="122"/>
        <v>0</v>
      </c>
      <c r="AS204" s="122">
        <f t="shared" si="122"/>
        <v>0</v>
      </c>
      <c r="AT204" s="122">
        <f t="shared" si="122"/>
        <v>0</v>
      </c>
      <c r="AU204" s="122">
        <f t="shared" si="122"/>
        <v>0</v>
      </c>
      <c r="AV204" s="122">
        <f t="shared" si="122"/>
        <v>0</v>
      </c>
      <c r="AW204" s="122">
        <f t="shared" si="122"/>
        <v>0</v>
      </c>
      <c r="AX204" s="122">
        <f t="shared" si="122"/>
        <v>0</v>
      </c>
      <c r="AY204" s="122">
        <f t="shared" si="122"/>
        <v>0</v>
      </c>
      <c r="AZ204" s="122">
        <f t="shared" si="122"/>
        <v>0</v>
      </c>
      <c r="BC204" s="245" t="str">
        <f t="shared" si="116"/>
        <v xml:space="preserve">Возмещение НДС с ремонта </v>
      </c>
      <c r="BD204" s="235">
        <f t="shared" si="117"/>
        <v>7074848.3606557371</v>
      </c>
      <c r="BE204" s="235">
        <f t="shared" si="117"/>
        <v>0</v>
      </c>
      <c r="BF204" s="235">
        <f t="shared" si="117"/>
        <v>0</v>
      </c>
      <c r="BG204" s="235">
        <f t="shared" si="117"/>
        <v>0</v>
      </c>
      <c r="BH204" s="235">
        <f t="shared" si="117"/>
        <v>0</v>
      </c>
      <c r="BI204" s="235">
        <f t="shared" si="117"/>
        <v>0</v>
      </c>
      <c r="BJ204" s="235">
        <f t="shared" si="117"/>
        <v>0</v>
      </c>
      <c r="BK204" s="235">
        <f t="shared" si="117"/>
        <v>0</v>
      </c>
      <c r="BL204" s="235">
        <f t="shared" si="117"/>
        <v>0</v>
      </c>
      <c r="BM204" s="235">
        <f t="shared" si="117"/>
        <v>0</v>
      </c>
    </row>
    <row r="205" spans="1:65" ht="20" customHeight="1" x14ac:dyDescent="0.35">
      <c r="B205" s="70"/>
      <c r="C205" s="53"/>
      <c r="D205" s="53"/>
      <c r="E205" s="53"/>
      <c r="F205" s="269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  <c r="AU205" s="122"/>
      <c r="AV205" s="122"/>
      <c r="AW205" s="122"/>
      <c r="AX205" s="122"/>
      <c r="AY205" s="122"/>
      <c r="AZ205" s="122"/>
      <c r="BC205" s="245"/>
    </row>
    <row r="206" spans="1:65" ht="20" customHeight="1" x14ac:dyDescent="0.35">
      <c r="B206" s="70" t="s">
        <v>194</v>
      </c>
      <c r="C206" s="53"/>
      <c r="D206" s="53"/>
      <c r="E206" s="53"/>
      <c r="F206" s="269">
        <f>F145-E145</f>
        <v>0</v>
      </c>
      <c r="G206" s="122">
        <f t="shared" ref="G206:AZ206" si="123">G145-F145+G162-F162</f>
        <v>3125000</v>
      </c>
      <c r="H206" s="122">
        <f t="shared" si="123"/>
        <v>2381454.5373975411</v>
      </c>
      <c r="I206" s="122">
        <f t="shared" si="123"/>
        <v>1921214.6868916498</v>
      </c>
      <c r="J206" s="122">
        <f t="shared" si="123"/>
        <v>1432209.8457291396</v>
      </c>
      <c r="K206" s="122">
        <f t="shared" si="123"/>
        <v>1060034.8761743009</v>
      </c>
      <c r="L206" s="122">
        <f t="shared" si="123"/>
        <v>0</v>
      </c>
      <c r="M206" s="122">
        <f t="shared" si="123"/>
        <v>0</v>
      </c>
      <c r="N206" s="122">
        <f t="shared" si="123"/>
        <v>0</v>
      </c>
      <c r="O206" s="122">
        <f t="shared" si="123"/>
        <v>0</v>
      </c>
      <c r="P206" s="122">
        <f t="shared" si="123"/>
        <v>0</v>
      </c>
      <c r="Q206" s="122">
        <f t="shared" si="123"/>
        <v>0</v>
      </c>
      <c r="R206" s="122">
        <f t="shared" si="123"/>
        <v>0</v>
      </c>
      <c r="S206" s="122">
        <f t="shared" si="123"/>
        <v>0</v>
      </c>
      <c r="T206" s="122">
        <f t="shared" si="123"/>
        <v>0</v>
      </c>
      <c r="U206" s="122">
        <f t="shared" si="123"/>
        <v>0</v>
      </c>
      <c r="V206" s="122">
        <f t="shared" si="123"/>
        <v>0</v>
      </c>
      <c r="W206" s="122">
        <f t="shared" si="123"/>
        <v>0</v>
      </c>
      <c r="X206" s="122">
        <f t="shared" si="123"/>
        <v>0</v>
      </c>
      <c r="Y206" s="122">
        <f t="shared" si="123"/>
        <v>0</v>
      </c>
      <c r="Z206" s="122">
        <f t="shared" si="123"/>
        <v>0</v>
      </c>
      <c r="AA206" s="122">
        <f t="shared" si="123"/>
        <v>0</v>
      </c>
      <c r="AB206" s="122">
        <f t="shared" si="123"/>
        <v>0</v>
      </c>
      <c r="AC206" s="122">
        <f t="shared" si="123"/>
        <v>0</v>
      </c>
      <c r="AD206" s="122">
        <f t="shared" si="123"/>
        <v>0</v>
      </c>
      <c r="AE206" s="122">
        <f t="shared" si="123"/>
        <v>0</v>
      </c>
      <c r="AF206" s="122">
        <f t="shared" si="123"/>
        <v>0</v>
      </c>
      <c r="AG206" s="122">
        <f t="shared" si="123"/>
        <v>0</v>
      </c>
      <c r="AH206" s="122">
        <f t="shared" si="123"/>
        <v>0</v>
      </c>
      <c r="AI206" s="122">
        <f t="shared" si="123"/>
        <v>0</v>
      </c>
      <c r="AJ206" s="122">
        <f t="shared" si="123"/>
        <v>0</v>
      </c>
      <c r="AK206" s="122">
        <f t="shared" si="123"/>
        <v>0</v>
      </c>
      <c r="AL206" s="122">
        <f t="shared" si="123"/>
        <v>0</v>
      </c>
      <c r="AM206" s="122">
        <f t="shared" si="123"/>
        <v>0</v>
      </c>
      <c r="AN206" s="122">
        <f t="shared" si="123"/>
        <v>0</v>
      </c>
      <c r="AO206" s="122">
        <f t="shared" si="123"/>
        <v>0</v>
      </c>
      <c r="AP206" s="122">
        <f t="shared" si="123"/>
        <v>0</v>
      </c>
      <c r="AQ206" s="122">
        <f t="shared" si="123"/>
        <v>0</v>
      </c>
      <c r="AR206" s="122">
        <f t="shared" si="123"/>
        <v>0</v>
      </c>
      <c r="AS206" s="122">
        <f t="shared" si="123"/>
        <v>0</v>
      </c>
      <c r="AT206" s="122">
        <f t="shared" si="123"/>
        <v>0</v>
      </c>
      <c r="AU206" s="122">
        <f t="shared" si="123"/>
        <v>0</v>
      </c>
      <c r="AV206" s="122">
        <f t="shared" si="123"/>
        <v>0</v>
      </c>
      <c r="AW206" s="122">
        <f t="shared" si="123"/>
        <v>0</v>
      </c>
      <c r="AX206" s="122">
        <f t="shared" si="123"/>
        <v>0</v>
      </c>
      <c r="AY206" s="122">
        <f t="shared" si="123"/>
        <v>0</v>
      </c>
      <c r="AZ206" s="122">
        <f t="shared" si="123"/>
        <v>0</v>
      </c>
      <c r="BC206" s="245" t="str">
        <f>B206</f>
        <v xml:space="preserve">Изменение начисленных процентов </v>
      </c>
      <c r="BD206" s="235">
        <f t="shared" ref="BD206:BM206" si="124">SUMIF($F$98:$AZ$98,BD$164,$F206:$AZ206)</f>
        <v>8859879.0700183306</v>
      </c>
      <c r="BE206" s="235">
        <f t="shared" si="124"/>
        <v>1060034.8761743009</v>
      </c>
      <c r="BF206" s="235">
        <f t="shared" si="124"/>
        <v>0</v>
      </c>
      <c r="BG206" s="235">
        <f t="shared" si="124"/>
        <v>0</v>
      </c>
      <c r="BH206" s="235">
        <f t="shared" si="124"/>
        <v>0</v>
      </c>
      <c r="BI206" s="235">
        <f t="shared" si="124"/>
        <v>0</v>
      </c>
      <c r="BJ206" s="235">
        <f t="shared" si="124"/>
        <v>0</v>
      </c>
      <c r="BK206" s="235">
        <f t="shared" si="124"/>
        <v>0</v>
      </c>
      <c r="BL206" s="235">
        <f t="shared" si="124"/>
        <v>0</v>
      </c>
      <c r="BM206" s="235">
        <f t="shared" si="124"/>
        <v>0</v>
      </c>
    </row>
    <row r="207" spans="1:65" ht="20" customHeight="1" x14ac:dyDescent="0.35">
      <c r="B207" s="70"/>
      <c r="C207" s="53"/>
      <c r="D207" s="53"/>
      <c r="E207" s="53"/>
      <c r="F207" s="269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  <c r="AU207" s="122"/>
      <c r="AV207" s="122"/>
      <c r="AW207" s="122"/>
      <c r="AX207" s="122"/>
      <c r="AY207" s="122"/>
      <c r="AZ207" s="122"/>
    </row>
    <row r="208" spans="1:65" s="52" customFormat="1" ht="20" customHeight="1" x14ac:dyDescent="0.35">
      <c r="A208" s="11"/>
      <c r="B208" s="68" t="s">
        <v>26</v>
      </c>
      <c r="C208" s="55"/>
      <c r="D208" s="69"/>
      <c r="E208" s="55"/>
      <c r="F208" s="300">
        <f>SUM(F189,F195:F206,F193)-F186</f>
        <v>20831938.249999985</v>
      </c>
      <c r="G208" s="92">
        <f>SUM(G189,G195:G206,G193)-G186</f>
        <v>4071327.0619405769</v>
      </c>
      <c r="H208" s="92">
        <f>SUM(H189,H195:H206,H193)-H186</f>
        <v>-5779870.7583504207</v>
      </c>
      <c r="I208" s="92">
        <f t="shared" ref="I208:AZ208" si="125">SUM(I189,I195:I206,I193)-I186</f>
        <v>11029467.356403679</v>
      </c>
      <c r="J208" s="92">
        <f>SUM(J189,J195:J206,J193)-J186</f>
        <v>-1969144.0721847361</v>
      </c>
      <c r="K208" s="92">
        <f t="shared" si="125"/>
        <v>-6429576.8124036277</v>
      </c>
      <c r="L208" s="92">
        <f t="shared" si="125"/>
        <v>4126530.7662573652</v>
      </c>
      <c r="M208" s="92">
        <f t="shared" si="125"/>
        <v>4623270.1579629881</v>
      </c>
      <c r="N208" s="92">
        <f t="shared" si="125"/>
        <v>4606073.5901559312</v>
      </c>
      <c r="O208" s="92">
        <f t="shared" si="125"/>
        <v>4411535.8751818659</v>
      </c>
      <c r="P208" s="92">
        <f t="shared" si="125"/>
        <v>4555541.5000374224</v>
      </c>
      <c r="Q208" s="92">
        <f t="shared" si="125"/>
        <v>5101923.7100517917</v>
      </c>
      <c r="R208" s="92">
        <f t="shared" si="125"/>
        <v>5082976.3646022119</v>
      </c>
      <c r="S208" s="92">
        <f t="shared" si="125"/>
        <v>4868868.2624134561</v>
      </c>
      <c r="T208" s="92">
        <f t="shared" si="125"/>
        <v>5028467.4679923002</v>
      </c>
      <c r="U208" s="92">
        <f t="shared" si="125"/>
        <v>5629456.0001247451</v>
      </c>
      <c r="V208" s="92">
        <f t="shared" si="125"/>
        <v>5608582.0212468458</v>
      </c>
      <c r="W208" s="92">
        <f t="shared" si="125"/>
        <v>5372947.1665961836</v>
      </c>
      <c r="X208" s="92">
        <f t="shared" si="125"/>
        <v>5549729.1364265876</v>
      </c>
      <c r="Y208" s="92">
        <f t="shared" si="125"/>
        <v>6210783.8254168304</v>
      </c>
      <c r="Z208" s="92">
        <f t="shared" si="125"/>
        <v>6187789.7522956962</v>
      </c>
      <c r="AA208" s="92">
        <f t="shared" si="125"/>
        <v>5928476.3396914089</v>
      </c>
      <c r="AB208" s="92">
        <f t="shared" si="125"/>
        <v>6124189.9212908698</v>
      </c>
      <c r="AC208" s="92">
        <f t="shared" si="125"/>
        <v>6851316.5654158043</v>
      </c>
      <c r="AD208" s="92">
        <f t="shared" si="125"/>
        <v>6825989.5712182242</v>
      </c>
      <c r="AE208" s="92">
        <f t="shared" si="125"/>
        <v>6540630.8247788111</v>
      </c>
      <c r="AF208" s="92">
        <f t="shared" si="125"/>
        <v>6757200.514693886</v>
      </c>
      <c r="AG208" s="92">
        <f t="shared" si="125"/>
        <v>6758727.8272472508</v>
      </c>
      <c r="AH208" s="92">
        <f t="shared" si="125"/>
        <v>6697383.2908345126</v>
      </c>
      <c r="AI208" s="92">
        <f t="shared" si="125"/>
        <v>6428234.1689116182</v>
      </c>
      <c r="AJ208" s="92">
        <f t="shared" si="125"/>
        <v>6633557.1927540256</v>
      </c>
      <c r="AK208" s="92">
        <f t="shared" si="125"/>
        <v>7387628.8289453732</v>
      </c>
      <c r="AL208" s="92">
        <f t="shared" si="125"/>
        <v>7361298.5488193668</v>
      </c>
      <c r="AM208" s="92">
        <f t="shared" si="125"/>
        <v>7065139.2495054482</v>
      </c>
      <c r="AN208" s="92">
        <f t="shared" si="125"/>
        <v>7292151.5391312083</v>
      </c>
      <c r="AO208" s="92">
        <f t="shared" si="125"/>
        <v>8121599.4040914392</v>
      </c>
      <c r="AP208" s="92">
        <f t="shared" si="125"/>
        <v>8092605.1611025902</v>
      </c>
      <c r="AQ208" s="92">
        <f t="shared" si="125"/>
        <v>7766736.2110900218</v>
      </c>
      <c r="AR208" s="92">
        <f t="shared" si="125"/>
        <v>8017635.6171624484</v>
      </c>
      <c r="AS208" s="92">
        <f t="shared" si="125"/>
        <v>8929996.5603972115</v>
      </c>
      <c r="AT208" s="92">
        <f t="shared" si="125"/>
        <v>8898071.1848879755</v>
      </c>
      <c r="AU208" s="92">
        <f t="shared" si="125"/>
        <v>8539523.3984522317</v>
      </c>
      <c r="AV208" s="92">
        <f t="shared" si="125"/>
        <v>8816728.2798030935</v>
      </c>
      <c r="AW208" s="92">
        <f t="shared" si="125"/>
        <v>9820023.6792564429</v>
      </c>
      <c r="AX208" s="92">
        <f t="shared" si="125"/>
        <v>9786625.9619178679</v>
      </c>
      <c r="AY208" s="92">
        <f t="shared" si="125"/>
        <v>9393558.0487325732</v>
      </c>
      <c r="AZ208" s="92">
        <f t="shared" si="125"/>
        <v>9698431.2236362509</v>
      </c>
      <c r="BC208" s="246" t="str">
        <f>B208</f>
        <v>FCF</v>
      </c>
      <c r="BD208" s="247">
        <f t="shared" ref="BD208:BM208" si="126">BD189+SUM(BD193:BD206)-BD186</f>
        <v>28183717.837809071</v>
      </c>
      <c r="BE208" s="247">
        <f t="shared" si="126"/>
        <v>6926297.701972655</v>
      </c>
      <c r="BF208" s="247">
        <f t="shared" si="126"/>
        <v>19151977.449873291</v>
      </c>
      <c r="BG208" s="247">
        <f t="shared" si="126"/>
        <v>21135373.751777343</v>
      </c>
      <c r="BH208" s="247">
        <f t="shared" si="126"/>
        <v>23321249.880735297</v>
      </c>
      <c r="BI208" s="247">
        <f t="shared" si="126"/>
        <v>25729972.397616304</v>
      </c>
      <c r="BJ208" s="247">
        <f t="shared" si="126"/>
        <v>26753942.45755446</v>
      </c>
      <c r="BK208" s="247">
        <f t="shared" si="126"/>
        <v>27810718.739430379</v>
      </c>
      <c r="BL208" s="247">
        <f t="shared" si="126"/>
        <v>30571495.353830688</v>
      </c>
      <c r="BM208" s="247">
        <f t="shared" si="126"/>
        <v>33612439.573537655</v>
      </c>
    </row>
    <row r="209" spans="1:65" s="65" customFormat="1" ht="20" customHeight="1" x14ac:dyDescent="0.35">
      <c r="A209" s="11"/>
      <c r="B209" s="64"/>
      <c r="D209" s="66"/>
      <c r="E209" s="263"/>
      <c r="F209" s="301"/>
      <c r="G209" s="302"/>
      <c r="H209" s="303"/>
      <c r="I209" s="302"/>
      <c r="J209" s="302"/>
      <c r="K209" s="302"/>
      <c r="L209" s="304"/>
      <c r="M209" s="304"/>
      <c r="N209" s="304"/>
      <c r="O209" s="304"/>
      <c r="P209" s="304"/>
      <c r="Q209" s="304"/>
      <c r="R209" s="304"/>
      <c r="S209" s="304"/>
      <c r="T209" s="304"/>
      <c r="U209" s="304"/>
      <c r="V209" s="304"/>
      <c r="W209" s="304"/>
      <c r="X209" s="304"/>
      <c r="Y209" s="304"/>
      <c r="Z209" s="304"/>
      <c r="AA209" s="304"/>
      <c r="AB209" s="304"/>
      <c r="AC209" s="304"/>
      <c r="AD209" s="304"/>
      <c r="AE209" s="304"/>
      <c r="AF209" s="304"/>
      <c r="AG209" s="304"/>
      <c r="AH209" s="304"/>
      <c r="AI209" s="304"/>
      <c r="AJ209" s="304"/>
      <c r="AK209" s="304"/>
      <c r="AL209" s="304"/>
      <c r="AM209" s="304"/>
      <c r="AN209" s="304"/>
      <c r="AO209" s="304"/>
      <c r="AP209" s="304"/>
      <c r="AQ209" s="304"/>
      <c r="AR209" s="304"/>
      <c r="AS209" s="304"/>
      <c r="AT209" s="304"/>
      <c r="AU209" s="304"/>
      <c r="AV209" s="302"/>
      <c r="AW209" s="302"/>
      <c r="AX209" s="302"/>
      <c r="AY209" s="302"/>
      <c r="AZ209" s="302"/>
      <c r="BC209" s="243"/>
      <c r="BD209" s="243"/>
      <c r="BE209" s="243"/>
      <c r="BF209" s="243"/>
      <c r="BG209" s="243"/>
      <c r="BH209" s="243"/>
      <c r="BI209" s="243"/>
      <c r="BJ209" s="243"/>
      <c r="BK209" s="243"/>
      <c r="BL209" s="243"/>
      <c r="BM209" s="243"/>
    </row>
    <row r="210" spans="1:65" s="53" customFormat="1" ht="20" hidden="1" customHeight="1" outlineLevel="2" x14ac:dyDescent="0.35">
      <c r="B210" s="53" t="s">
        <v>27</v>
      </c>
      <c r="E210" s="106">
        <f>(SUM($I$179:$L$179)/E211)</f>
        <v>8.9704728887925883E-2</v>
      </c>
      <c r="F210" s="305">
        <f>(SUM($I$179:$L$179)/F211)</f>
        <v>8.103284720830152E-2</v>
      </c>
      <c r="G210" s="9">
        <f t="shared" ref="G210" si="127">(SUM($I$179:$L$179)/G211)</f>
        <v>7.8395247348831049E-2</v>
      </c>
      <c r="H210" s="9">
        <f>(SUM($I$179:$L$179)/H211)</f>
        <v>7.6180767185290668E-2</v>
      </c>
      <c r="I210" s="9">
        <f>(SUM($J$179:$M$179)/I211)</f>
        <v>8.1076032820612404E-2</v>
      </c>
      <c r="J210" s="9">
        <f>(SUM($K$179:$N$179)/J211)</f>
        <v>8.6730393884661125E-2</v>
      </c>
      <c r="K210" s="9">
        <f>$C$73</f>
        <v>0.08</v>
      </c>
      <c r="L210" s="9">
        <f t="shared" ref="L210:AZ210" si="128">K210</f>
        <v>0.08</v>
      </c>
      <c r="M210" s="9">
        <f t="shared" si="128"/>
        <v>0.08</v>
      </c>
      <c r="N210" s="9">
        <f t="shared" si="128"/>
        <v>0.08</v>
      </c>
      <c r="O210" s="9">
        <f t="shared" si="128"/>
        <v>0.08</v>
      </c>
      <c r="P210" s="9">
        <f t="shared" si="128"/>
        <v>0.08</v>
      </c>
      <c r="Q210" s="9">
        <f t="shared" si="128"/>
        <v>0.08</v>
      </c>
      <c r="R210" s="9">
        <f t="shared" si="128"/>
        <v>0.08</v>
      </c>
      <c r="S210" s="9">
        <f t="shared" si="128"/>
        <v>0.08</v>
      </c>
      <c r="T210" s="9">
        <f t="shared" si="128"/>
        <v>0.08</v>
      </c>
      <c r="U210" s="9">
        <f t="shared" si="128"/>
        <v>0.08</v>
      </c>
      <c r="V210" s="9">
        <f t="shared" si="128"/>
        <v>0.08</v>
      </c>
      <c r="W210" s="9">
        <f t="shared" si="128"/>
        <v>0.08</v>
      </c>
      <c r="X210" s="9">
        <f t="shared" si="128"/>
        <v>0.08</v>
      </c>
      <c r="Y210" s="9">
        <f t="shared" si="128"/>
        <v>0.08</v>
      </c>
      <c r="Z210" s="9">
        <f t="shared" si="128"/>
        <v>0.08</v>
      </c>
      <c r="AA210" s="9">
        <f t="shared" si="128"/>
        <v>0.08</v>
      </c>
      <c r="AB210" s="9">
        <f t="shared" si="128"/>
        <v>0.08</v>
      </c>
      <c r="AC210" s="9">
        <f t="shared" si="128"/>
        <v>0.08</v>
      </c>
      <c r="AD210" s="9">
        <f t="shared" si="128"/>
        <v>0.08</v>
      </c>
      <c r="AE210" s="9">
        <f t="shared" si="128"/>
        <v>0.08</v>
      </c>
      <c r="AF210" s="9">
        <f t="shared" si="128"/>
        <v>0.08</v>
      </c>
      <c r="AG210" s="9">
        <f t="shared" si="128"/>
        <v>0.08</v>
      </c>
      <c r="AH210" s="9">
        <f t="shared" si="128"/>
        <v>0.08</v>
      </c>
      <c r="AI210" s="9">
        <f t="shared" si="128"/>
        <v>0.08</v>
      </c>
      <c r="AJ210" s="9">
        <f t="shared" si="128"/>
        <v>0.08</v>
      </c>
      <c r="AK210" s="9">
        <f t="shared" si="128"/>
        <v>0.08</v>
      </c>
      <c r="AL210" s="9">
        <f t="shared" si="128"/>
        <v>0.08</v>
      </c>
      <c r="AM210" s="9">
        <f t="shared" si="128"/>
        <v>0.08</v>
      </c>
      <c r="AN210" s="9">
        <f t="shared" si="128"/>
        <v>0.08</v>
      </c>
      <c r="AO210" s="9">
        <f t="shared" si="128"/>
        <v>0.08</v>
      </c>
      <c r="AP210" s="9">
        <f t="shared" si="128"/>
        <v>0.08</v>
      </c>
      <c r="AQ210" s="9">
        <f t="shared" si="128"/>
        <v>0.08</v>
      </c>
      <c r="AR210" s="9">
        <f t="shared" si="128"/>
        <v>0.08</v>
      </c>
      <c r="AS210" s="9">
        <f t="shared" si="128"/>
        <v>0.08</v>
      </c>
      <c r="AT210" s="9">
        <f t="shared" si="128"/>
        <v>0.08</v>
      </c>
      <c r="AU210" s="9">
        <f t="shared" si="128"/>
        <v>0.08</v>
      </c>
      <c r="AV210" s="9">
        <f t="shared" si="128"/>
        <v>0.08</v>
      </c>
      <c r="AW210" s="9">
        <f t="shared" si="128"/>
        <v>0.08</v>
      </c>
      <c r="AX210" s="9">
        <f t="shared" si="128"/>
        <v>0.08</v>
      </c>
      <c r="AY210" s="9">
        <f t="shared" si="128"/>
        <v>0.08</v>
      </c>
      <c r="AZ210" s="9">
        <f t="shared" si="128"/>
        <v>0.08</v>
      </c>
      <c r="BC210" s="245" t="str">
        <f>B210</f>
        <v>Cap Rate</v>
      </c>
      <c r="BD210" s="249">
        <f>$E$210</f>
        <v>8.9704728887925883E-2</v>
      </c>
      <c r="BE210" s="250">
        <f t="shared" ref="BE210:BM210" si="129">_xlfn.MINIFS($F210:$AZ210,$F$98:$AZ$98,BE$164)</f>
        <v>0.08</v>
      </c>
      <c r="BF210" s="250">
        <f t="shared" si="129"/>
        <v>0.08</v>
      </c>
      <c r="BG210" s="250">
        <f t="shared" si="129"/>
        <v>0.08</v>
      </c>
      <c r="BH210" s="250">
        <f t="shared" si="129"/>
        <v>0.08</v>
      </c>
      <c r="BI210" s="250">
        <f t="shared" si="129"/>
        <v>0.08</v>
      </c>
      <c r="BJ210" s="250">
        <f t="shared" si="129"/>
        <v>0.08</v>
      </c>
      <c r="BK210" s="250">
        <f t="shared" si="129"/>
        <v>0.08</v>
      </c>
      <c r="BL210" s="250">
        <f t="shared" si="129"/>
        <v>0.08</v>
      </c>
      <c r="BM210" s="250">
        <f t="shared" si="129"/>
        <v>0.08</v>
      </c>
    </row>
    <row r="211" spans="1:65" s="77" customFormat="1" ht="20" customHeight="1" outlineLevel="1" collapsed="1" x14ac:dyDescent="0.35">
      <c r="B211" s="77" t="s">
        <v>36</v>
      </c>
      <c r="E211" s="280">
        <f>SUM($N$6:$N$7)</f>
        <v>224028774.59016398</v>
      </c>
      <c r="F211" s="281">
        <f>F214+F215-F233+SUM($E$201:F204)</f>
        <v>248003632.84836066</v>
      </c>
      <c r="G211" s="117">
        <f>G214+G215-G233+SUM($E$201:G204)</f>
        <v>256347689.0159283</v>
      </c>
      <c r="H211" s="117">
        <f>H214+H215-H233+SUM($E$201:H204)</f>
        <v>263799397.54118451</v>
      </c>
      <c r="I211" s="117">
        <f>I214+I215-I233+SUM($E$201:I204)</f>
        <v>260622620.74959919</v>
      </c>
      <c r="J211" s="117">
        <f>J214+J215-J233+SUM($E$201:J204)</f>
        <v>255551195.22629079</v>
      </c>
      <c r="K211" s="117">
        <f>K215+K214-K233</f>
        <v>284180078.86782789</v>
      </c>
      <c r="L211" s="117">
        <f t="shared" ref="L211:AZ211" si="130">L215+L214-L233</f>
        <v>291309459.98975414</v>
      </c>
      <c r="M211" s="117">
        <f t="shared" si="130"/>
        <v>299170748.13012302</v>
      </c>
      <c r="N211" s="117">
        <f t="shared" si="130"/>
        <v>307032036.27049184</v>
      </c>
      <c r="O211" s="117">
        <f t="shared" si="130"/>
        <v>314888582.18429822</v>
      </c>
      <c r="P211" s="117">
        <f t="shared" si="130"/>
        <v>322745128.0981046</v>
      </c>
      <c r="Q211" s="117">
        <f t="shared" si="130"/>
        <v>331406771.73219788</v>
      </c>
      <c r="R211" s="117">
        <f t="shared" si="130"/>
        <v>340068415.36629105</v>
      </c>
      <c r="S211" s="117">
        <f t="shared" si="130"/>
        <v>348725198.21815777</v>
      </c>
      <c r="T211" s="117">
        <f t="shared" si="130"/>
        <v>357381981.07002449</v>
      </c>
      <c r="U211" s="117">
        <f t="shared" si="130"/>
        <v>366924371.41420674</v>
      </c>
      <c r="V211" s="117">
        <f t="shared" si="130"/>
        <v>376466761.75838906</v>
      </c>
      <c r="W211" s="117">
        <f t="shared" si="130"/>
        <v>386004169.80078906</v>
      </c>
      <c r="X211" s="117">
        <f t="shared" si="130"/>
        <v>395541577.84318912</v>
      </c>
      <c r="Y211" s="117">
        <f t="shared" si="130"/>
        <v>406053154.12713623</v>
      </c>
      <c r="Z211" s="117">
        <f t="shared" si="130"/>
        <v>416564730.41108334</v>
      </c>
      <c r="AA211" s="117">
        <f t="shared" si="130"/>
        <v>427071199.83570379</v>
      </c>
      <c r="AB211" s="117">
        <f t="shared" si="130"/>
        <v>437577669.26032418</v>
      </c>
      <c r="AC211" s="117">
        <f t="shared" si="130"/>
        <v>449155723.75064641</v>
      </c>
      <c r="AD211" s="117">
        <f t="shared" si="130"/>
        <v>460733778.24096864</v>
      </c>
      <c r="AE211" s="117">
        <f t="shared" si="130"/>
        <v>472306598.20048094</v>
      </c>
      <c r="AF211" s="117">
        <f t="shared" si="130"/>
        <v>483879418.15999317</v>
      </c>
      <c r="AG211" s="117">
        <f t="shared" si="130"/>
        <v>496630981.69177753</v>
      </c>
      <c r="AH211" s="117">
        <f t="shared" si="130"/>
        <v>509382545.22356182</v>
      </c>
      <c r="AI211" s="117">
        <f t="shared" si="130"/>
        <v>522128743.36126596</v>
      </c>
      <c r="AJ211" s="117">
        <f t="shared" si="130"/>
        <v>534874941.49897021</v>
      </c>
      <c r="AK211" s="117">
        <f t="shared" si="130"/>
        <v>548917757.56617355</v>
      </c>
      <c r="AL211" s="117">
        <f t="shared" si="130"/>
        <v>562960573.63337672</v>
      </c>
      <c r="AM211" s="117">
        <f t="shared" si="130"/>
        <v>576997890.17164779</v>
      </c>
      <c r="AN211" s="117">
        <f t="shared" si="130"/>
        <v>591035206.70991898</v>
      </c>
      <c r="AO211" s="117">
        <f t="shared" si="130"/>
        <v>606498802.97063923</v>
      </c>
      <c r="AP211" s="117">
        <f t="shared" si="130"/>
        <v>621962399.23135948</v>
      </c>
      <c r="AQ211" s="117">
        <f t="shared" si="130"/>
        <v>637420358.47492445</v>
      </c>
      <c r="AR211" s="117">
        <f t="shared" si="130"/>
        <v>652878317.71848929</v>
      </c>
      <c r="AS211" s="117">
        <f t="shared" si="130"/>
        <v>669905184.65674806</v>
      </c>
      <c r="AT211" s="117">
        <f t="shared" si="130"/>
        <v>686932051.59500694</v>
      </c>
      <c r="AU211" s="117">
        <f t="shared" si="130"/>
        <v>703953140.59068155</v>
      </c>
      <c r="AV211" s="117">
        <f t="shared" si="130"/>
        <v>721117769.41454363</v>
      </c>
      <c r="AW211" s="117">
        <f t="shared" si="130"/>
        <v>738929885.3284502</v>
      </c>
      <c r="AX211" s="117">
        <f t="shared" si="130"/>
        <v>757217198.98366046</v>
      </c>
      <c r="AY211" s="117">
        <f t="shared" si="130"/>
        <v>776350300.12444293</v>
      </c>
      <c r="AZ211" s="117">
        <f t="shared" si="130"/>
        <v>795642437.09915936</v>
      </c>
      <c r="BC211" s="245" t="str">
        <f>B211</f>
        <v>Рыночная стоимость объекта (EV)</v>
      </c>
      <c r="BD211" s="235">
        <f t="shared" ref="BD211:BM211" si="131">_xlfn.MAXIFS($F211:$AZ211,$F$98:$AZ$98,BD$164)</f>
        <v>263799397.54118451</v>
      </c>
      <c r="BE211" s="235">
        <f t="shared" si="131"/>
        <v>307032036.27049184</v>
      </c>
      <c r="BF211" s="235">
        <f t="shared" si="131"/>
        <v>340068415.36629105</v>
      </c>
      <c r="BG211" s="235">
        <f t="shared" si="131"/>
        <v>376466761.75838906</v>
      </c>
      <c r="BH211" s="235">
        <f t="shared" si="131"/>
        <v>416564730.41108334</v>
      </c>
      <c r="BI211" s="235">
        <f t="shared" si="131"/>
        <v>460733778.24096864</v>
      </c>
      <c r="BJ211" s="235">
        <f t="shared" si="131"/>
        <v>509382545.22356182</v>
      </c>
      <c r="BK211" s="235">
        <f t="shared" si="131"/>
        <v>562960573.63337672</v>
      </c>
      <c r="BL211" s="235">
        <f t="shared" si="131"/>
        <v>621962399.23135948</v>
      </c>
      <c r="BM211" s="235">
        <f t="shared" si="131"/>
        <v>686932051.59500694</v>
      </c>
    </row>
    <row r="212" spans="1:65" s="78" customFormat="1" ht="20" hidden="1" customHeight="1" x14ac:dyDescent="0.35">
      <c r="A212" s="39"/>
      <c r="B212" s="62" t="s">
        <v>38</v>
      </c>
      <c r="D212" s="63"/>
      <c r="E212" s="315"/>
      <c r="F212" s="91"/>
      <c r="G212" s="118">
        <f>G211/F211-1</f>
        <v>3.3644894922444601E-2</v>
      </c>
      <c r="H212" s="118">
        <f t="shared" ref="H212:P212" si="132">H211/G211-1</f>
        <v>2.9068756398241691E-2</v>
      </c>
      <c r="I212" s="118">
        <f t="shared" si="132"/>
        <v>-1.2042395931133099E-2</v>
      </c>
      <c r="J212" s="118">
        <f>J211/I211-1</f>
        <v>-1.9458884684384059E-2</v>
      </c>
      <c r="K212" s="118">
        <f>K211/J211-1</f>
        <v>0.11202797786246399</v>
      </c>
      <c r="L212" s="118">
        <f t="shared" si="132"/>
        <v>2.5087547129727383E-2</v>
      </c>
      <c r="M212" s="118">
        <f>M211/L211-1</f>
        <v>2.6986037942761554E-2</v>
      </c>
      <c r="N212" s="118">
        <f>N211/M211-1</f>
        <v>2.6276927772863612E-2</v>
      </c>
      <c r="O212" s="118">
        <f t="shared" si="132"/>
        <v>2.5588684520480687E-2</v>
      </c>
      <c r="P212" s="118">
        <f t="shared" si="132"/>
        <v>2.4950240682934943E-2</v>
      </c>
      <c r="Q212" s="118">
        <f t="shared" ref="Q212:AT212" si="133">Q211/P211-1</f>
        <v>2.6837410947564866E-2</v>
      </c>
      <c r="R212" s="80">
        <f t="shared" si="133"/>
        <v>2.6135988678868793E-2</v>
      </c>
      <c r="S212" s="80">
        <f t="shared" si="133"/>
        <v>2.5456003735431887E-2</v>
      </c>
      <c r="T212" s="80">
        <f t="shared" si="133"/>
        <v>2.4824081815995269E-2</v>
      </c>
      <c r="U212" s="80">
        <f t="shared" si="133"/>
        <v>2.6700815512891163E-2</v>
      </c>
      <c r="V212" s="80">
        <f t="shared" si="133"/>
        <v>2.6006422815153529E-2</v>
      </c>
      <c r="W212" s="80">
        <f t="shared" si="133"/>
        <v>2.533399760938515E-2</v>
      </c>
      <c r="X212" s="80">
        <f t="shared" si="133"/>
        <v>2.4708044079736702E-2</v>
      </c>
      <c r="Y212" s="80">
        <f t="shared" si="133"/>
        <v>2.6575148790336289E-2</v>
      </c>
      <c r="Z212" s="80">
        <f t="shared" si="133"/>
        <v>2.5887192790173152E-2</v>
      </c>
      <c r="AA212" s="80">
        <f t="shared" si="133"/>
        <v>2.5221697031940771E-2</v>
      </c>
      <c r="AB212" s="80">
        <f t="shared" si="133"/>
        <v>2.4601212698637243E-2</v>
      </c>
      <c r="AC212" s="80">
        <f t="shared" si="133"/>
        <v>2.6459427214130082E-2</v>
      </c>
      <c r="AD212" s="80">
        <f t="shared" si="133"/>
        <v>2.5777372697469936E-2</v>
      </c>
      <c r="AE212" s="80">
        <f t="shared" si="133"/>
        <v>2.5118236400413441E-2</v>
      </c>
      <c r="AF212" s="80">
        <f t="shared" si="133"/>
        <v>2.4502770030326637E-2</v>
      </c>
      <c r="AG212" s="80">
        <f t="shared" si="133"/>
        <v>2.6352771069027225E-2</v>
      </c>
      <c r="AH212" s="80">
        <f t="shared" si="133"/>
        <v>2.5676133793236078E-2</v>
      </c>
      <c r="AI212" s="80">
        <f t="shared" si="133"/>
        <v>2.5022840411836222E-2</v>
      </c>
      <c r="AJ212" s="80">
        <f t="shared" si="133"/>
        <v>2.441198325081495E-2</v>
      </c>
      <c r="AK212" s="80">
        <f t="shared" si="133"/>
        <v>2.6254391405678534E-2</v>
      </c>
      <c r="AL212" s="80">
        <f t="shared" si="133"/>
        <v>2.5582732337658509E-2</v>
      </c>
      <c r="AM212" s="80">
        <f t="shared" si="133"/>
        <v>2.4934812837200226E-2</v>
      </c>
      <c r="AN212" s="80">
        <f t="shared" si="133"/>
        <v>2.432819387622942E-2</v>
      </c>
      <c r="AO212" s="80">
        <f t="shared" si="133"/>
        <v>2.6163578895410655E-2</v>
      </c>
      <c r="AP212" s="80">
        <f t="shared" si="133"/>
        <v>2.5496499226345337E-2</v>
      </c>
      <c r="AQ212" s="80">
        <f t="shared" si="133"/>
        <v>2.4853526937751225E-2</v>
      </c>
      <c r="AR212" s="80">
        <f t="shared" si="133"/>
        <v>2.4250808807784408E-2</v>
      </c>
      <c r="AS212" s="80">
        <f>AS211/AR211-1</f>
        <v>2.6079694295500389E-2</v>
      </c>
      <c r="AT212" s="80">
        <f t="shared" si="133"/>
        <v>2.5416831110186555E-2</v>
      </c>
      <c r="AU212" s="80">
        <f t="shared" ref="AU212" si="134">AU211/AT211-1</f>
        <v>2.4778417248333184E-2</v>
      </c>
      <c r="AV212" s="80">
        <f t="shared" ref="AV212" si="135">AV211/AU211-1</f>
        <v>2.4383198020054841E-2</v>
      </c>
      <c r="AW212" s="80">
        <f t="shared" ref="AW212" si="136">AW211/AV211-1</f>
        <v>2.4700703088162301E-2</v>
      </c>
      <c r="AX212" s="80">
        <f t="shared" ref="AX212" si="137">AX211/AW211-1</f>
        <v>2.4748374667620476E-2</v>
      </c>
      <c r="AY212" s="80">
        <f t="shared" ref="AY212" si="138">AY211/AX211-1</f>
        <v>2.5267652618644831E-2</v>
      </c>
      <c r="AZ212" s="80">
        <f t="shared" ref="AZ212" si="139">AZ211/AY211-1</f>
        <v>2.4849783624253163E-2</v>
      </c>
      <c r="BC212" s="243" t="s">
        <v>198</v>
      </c>
      <c r="BD212" s="244">
        <f>K211/E211-1</f>
        <v>0.26849811765343135</v>
      </c>
      <c r="BE212" s="244">
        <f>BE211/BD211-1</f>
        <v>0.1638845241204836</v>
      </c>
      <c r="BF212" s="244">
        <f t="shared" ref="BF212:BM212" si="140">BF211/BE211-1</f>
        <v>0.10759912710442543</v>
      </c>
      <c r="BG212" s="244">
        <f t="shared" si="140"/>
        <v>0.10703242273438707</v>
      </c>
      <c r="BH212" s="244">
        <f t="shared" si="140"/>
        <v>0.10651131182313667</v>
      </c>
      <c r="BI212" s="244">
        <f t="shared" si="140"/>
        <v>0.10603165511947554</v>
      </c>
      <c r="BJ212" s="244">
        <f t="shared" si="140"/>
        <v>0.10558975547295191</v>
      </c>
      <c r="BK212" s="244">
        <f t="shared" si="140"/>
        <v>0.10518230142004592</v>
      </c>
      <c r="BL212" s="244">
        <f t="shared" si="140"/>
        <v>0.10480631923685513</v>
      </c>
      <c r="BM212" s="244">
        <f t="shared" si="140"/>
        <v>0.10445913200530921</v>
      </c>
    </row>
    <row r="213" spans="1:65" s="65" customFormat="1" ht="20" customHeight="1" x14ac:dyDescent="0.35">
      <c r="A213" s="11"/>
      <c r="B213" s="64"/>
      <c r="D213" s="66"/>
      <c r="E213" s="263"/>
      <c r="F213" s="301"/>
      <c r="G213" s="307"/>
      <c r="H213" s="307"/>
      <c r="I213" s="307"/>
      <c r="J213" s="307"/>
      <c r="K213" s="307"/>
      <c r="L213" s="307"/>
      <c r="M213" s="307"/>
      <c r="N213" s="307"/>
      <c r="O213" s="307"/>
      <c r="P213" s="307"/>
      <c r="Q213" s="307"/>
      <c r="R213" s="302"/>
      <c r="S213" s="302"/>
      <c r="T213" s="302"/>
      <c r="U213" s="302"/>
      <c r="V213" s="302"/>
      <c r="W213" s="302"/>
      <c r="X213" s="302"/>
      <c r="Y213" s="302"/>
      <c r="Z213" s="302"/>
      <c r="AA213" s="302"/>
      <c r="AB213" s="302"/>
      <c r="AC213" s="302"/>
      <c r="AD213" s="302"/>
      <c r="AE213" s="302"/>
      <c r="AF213" s="302"/>
      <c r="AG213" s="302"/>
      <c r="AH213" s="302"/>
      <c r="AI213" s="302"/>
      <c r="AJ213" s="302"/>
      <c r="AK213" s="302"/>
      <c r="AL213" s="302"/>
      <c r="AM213" s="302"/>
      <c r="AN213" s="302"/>
      <c r="AO213" s="302"/>
      <c r="AP213" s="302"/>
      <c r="AQ213" s="302"/>
      <c r="AR213" s="302"/>
      <c r="AS213" s="302"/>
      <c r="AT213" s="302"/>
      <c r="AU213" s="302"/>
      <c r="AV213" s="302"/>
      <c r="AW213" s="302"/>
      <c r="AX213" s="302"/>
      <c r="AY213" s="302"/>
      <c r="AZ213" s="302"/>
      <c r="BC213" s="245">
        <f>B213</f>
        <v>0</v>
      </c>
      <c r="BD213" s="243"/>
      <c r="BE213" s="243"/>
      <c r="BF213" s="243"/>
      <c r="BG213" s="243"/>
      <c r="BH213" s="243"/>
      <c r="BI213" s="243"/>
      <c r="BJ213" s="243"/>
      <c r="BK213" s="243"/>
      <c r="BL213" s="243"/>
      <c r="BM213" s="243"/>
    </row>
    <row r="214" spans="1:65" ht="20" customHeight="1" outlineLevel="1" x14ac:dyDescent="0.35">
      <c r="B214" s="53" t="s">
        <v>148</v>
      </c>
      <c r="C214" s="53"/>
      <c r="D214" s="53"/>
      <c r="E214" s="263"/>
      <c r="F214" s="259">
        <f>F160+($N$6+$N$8)+SUM($E$199:F199,$E$201:F201)</f>
        <v>213857298.5</v>
      </c>
      <c r="G214" s="100">
        <f>G160+($N$6+$N$8)+SUM($E$199:G199,$E$201:G201)</f>
        <v>160996246.47336066</v>
      </c>
      <c r="H214" s="100">
        <f>H160+($N$6+$N$8)+SUM($E$199:H199,$E$201:H201)</f>
        <v>112668084.24026641</v>
      </c>
      <c r="I214" s="100">
        <f>I160+($N$6+$N$8)+SUM($E$199:I199,$E$201:I201)</f>
        <v>63879682.156666279</v>
      </c>
      <c r="J214" s="100">
        <f>J160+($N$6+$N$8)+SUM($E$199:J199,$E$201:J201)</f>
        <v>16960558.018788844</v>
      </c>
      <c r="K214" s="100">
        <f>K160+($N$6+$N$8)+SUM($E$199:K199,$E$201:K201)</f>
        <v>0</v>
      </c>
      <c r="L214" s="100">
        <f>L160+($N$6+$N$8)+SUM($E$199:L199,$E$201:L201)</f>
        <v>0</v>
      </c>
      <c r="M214" s="100">
        <f>M160+($N$6+$N$8)+SUM($E$199:M199,$E$201:M201)</f>
        <v>0</v>
      </c>
      <c r="N214" s="100">
        <f>N160+($N$6+$N$8)+SUM($E$199:N199,$E$201:N201)</f>
        <v>0</v>
      </c>
      <c r="O214" s="100">
        <f>O160+($N$6+$N$8)+SUM($E$199:O199,$E$201:O201)</f>
        <v>0</v>
      </c>
      <c r="P214" s="100">
        <f>P160+($N$6+$N$8)+SUM($E$199:P199,$E$201:P201)</f>
        <v>0</v>
      </c>
      <c r="Q214" s="100">
        <f>Q160+($N$6+$N$8)+SUM($E$199:Q199,$E$201:Q201)</f>
        <v>0</v>
      </c>
      <c r="R214" s="100">
        <f>R160+($N$6+$N$8)+SUM($E$199:R199,$E$201:R201)</f>
        <v>0</v>
      </c>
      <c r="S214" s="100">
        <f>S160+($N$6+$N$8)+SUM($E$199:S199,$E$201:S201)</f>
        <v>0</v>
      </c>
      <c r="T214" s="100">
        <f>T160+($N$6+$N$8)+SUM($E$199:T199,$E$201:T201)</f>
        <v>0</v>
      </c>
      <c r="U214" s="100">
        <f>U160+($N$6+$N$8)+SUM($E$199:U199,$E$201:U201)</f>
        <v>0</v>
      </c>
      <c r="V214" s="100">
        <f>V160+($N$6+$N$8)+SUM($E$199:V199,$E$201:V201)</f>
        <v>0</v>
      </c>
      <c r="W214" s="100">
        <f>W160+($N$6+$N$8)+SUM($E$199:W199,$E$201:W201)</f>
        <v>0</v>
      </c>
      <c r="X214" s="100">
        <f>X160+($N$6+$N$8)+SUM($E$199:X199,$E$201:X201)</f>
        <v>0</v>
      </c>
      <c r="Y214" s="100">
        <f>Y160+($N$6+$N$8)+SUM($E$199:Y199,$E$201:Y201)</f>
        <v>0</v>
      </c>
      <c r="Z214" s="100">
        <f>Z160+($N$6+$N$8)+SUM($E$199:Z199,$E$201:Z201)</f>
        <v>0</v>
      </c>
      <c r="AA214" s="100">
        <f>AA160+($N$6+$N$8)+SUM($E$199:AA199,$E$201:AA201)</f>
        <v>0</v>
      </c>
      <c r="AB214" s="100">
        <f>AB160+($N$6+$N$8)+SUM($E$199:AB199,$E$201:AB201)</f>
        <v>0</v>
      </c>
      <c r="AC214" s="100">
        <f>AC160+($N$6+$N$8)+SUM($E$199:AC199,$E$201:AC201)</f>
        <v>0</v>
      </c>
      <c r="AD214" s="100">
        <f>AD160+($N$6+$N$8)+SUM($E$199:AD199,$E$201:AD201)</f>
        <v>0</v>
      </c>
      <c r="AE214" s="100">
        <f>AE160+($N$6+$N$8)+SUM($E$199:AE199,$E$201:AE201)</f>
        <v>0</v>
      </c>
      <c r="AF214" s="100">
        <f>AF160+($N$6+$N$8)+SUM($E$199:AF199,$E$201:AF201)</f>
        <v>0</v>
      </c>
      <c r="AG214" s="100">
        <f>AG160+($N$6+$N$8)+SUM($E$199:AG199,$E$201:AG201)</f>
        <v>0</v>
      </c>
      <c r="AH214" s="100">
        <f>AH160+($N$6+$N$8)+SUM($E$199:AH199,$E$201:AH201)</f>
        <v>0</v>
      </c>
      <c r="AI214" s="100">
        <f>AI160+($N$6+$N$8)+SUM($E$199:AI199,$E$201:AI201)</f>
        <v>0</v>
      </c>
      <c r="AJ214" s="100">
        <f>AJ160+($N$6+$N$8)+SUM($E$199:AJ199,$E$201:AJ201)</f>
        <v>0</v>
      </c>
      <c r="AK214" s="100">
        <f>AK160+($N$6+$N$8)+SUM($E$199:AK199,$E$201:AK201)</f>
        <v>0</v>
      </c>
      <c r="AL214" s="100">
        <f>AL160+($N$6+$N$8)+SUM($E$199:AL199,$E$201:AL201)</f>
        <v>0</v>
      </c>
      <c r="AM214" s="100">
        <f>AM160+($N$6+$N$8)+SUM($E$199:AM199,$E$201:AM201)</f>
        <v>0</v>
      </c>
      <c r="AN214" s="100">
        <f>AN160+($N$6+$N$8)+SUM($E$199:AN199,$E$201:AN201)</f>
        <v>0</v>
      </c>
      <c r="AO214" s="100">
        <f>AO160+($N$6+$N$8)+SUM($E$199:AO199,$E$201:AO201)</f>
        <v>0</v>
      </c>
      <c r="AP214" s="100">
        <f>AP160+($N$6+$N$8)+SUM($E$199:AP199,$E$201:AP201)</f>
        <v>0</v>
      </c>
      <c r="AQ214" s="100">
        <f>AQ160+($N$6+$N$8)+SUM($E$199:AQ199,$E$201:AQ201)</f>
        <v>0</v>
      </c>
      <c r="AR214" s="100">
        <f>AR160+($N$6+$N$8)+SUM($E$199:AR199,$E$201:AR201)</f>
        <v>0</v>
      </c>
      <c r="AS214" s="100">
        <f>AS160+($N$6+$N$8)+SUM($E$199:AS199,$E$201:AS201)</f>
        <v>0</v>
      </c>
      <c r="AT214" s="100">
        <f>AT160+($N$6+$N$8)+SUM($E$199:AT199,$E$201:AT201)</f>
        <v>0</v>
      </c>
      <c r="AU214" s="100">
        <f>AU160+($N$6+$N$8)+SUM($E$199:AU199,$E$201:AU201)</f>
        <v>0</v>
      </c>
      <c r="AV214" s="100">
        <f>AV160+($N$6+$N$8)+SUM($E$199:AV199,$E$201:AV201)</f>
        <v>0</v>
      </c>
      <c r="AW214" s="100">
        <f>AW160+($N$6+$N$8)+SUM($E$199:AW199,$E$201:AW201)</f>
        <v>0</v>
      </c>
      <c r="AX214" s="100">
        <f>AX160+($N$6+$N$8)+SUM($E$199:AX199,$E$201:AX201)</f>
        <v>0</v>
      </c>
      <c r="AY214" s="100">
        <f>AY160+($N$6+$N$8)+SUM($E$199:AY199,$E$201:AY201)</f>
        <v>0</v>
      </c>
      <c r="AZ214" s="100">
        <f>AZ160+($N$6+$N$8)+SUM($E$199:AZ199,$E$201:AZ201)</f>
        <v>0</v>
      </c>
      <c r="BC214" s="245" t="str">
        <f>B214</f>
        <v xml:space="preserve">Долг </v>
      </c>
      <c r="BD214" s="235">
        <v>0</v>
      </c>
      <c r="BE214" s="235">
        <f t="shared" ref="BE214:BM215" si="141">_xlfn.MAXIFS($F214:$AZ214,$F$98:$AZ$98,BE$164)</f>
        <v>0</v>
      </c>
      <c r="BF214" s="235">
        <f t="shared" si="141"/>
        <v>0</v>
      </c>
      <c r="BG214" s="235">
        <f t="shared" si="141"/>
        <v>0</v>
      </c>
      <c r="BH214" s="235">
        <f t="shared" si="141"/>
        <v>0</v>
      </c>
      <c r="BI214" s="235">
        <f t="shared" si="141"/>
        <v>0</v>
      </c>
      <c r="BJ214" s="235">
        <f t="shared" si="141"/>
        <v>0</v>
      </c>
      <c r="BK214" s="235">
        <f t="shared" si="141"/>
        <v>0</v>
      </c>
      <c r="BL214" s="235">
        <f t="shared" si="141"/>
        <v>0</v>
      </c>
      <c r="BM214" s="235">
        <f t="shared" si="141"/>
        <v>0</v>
      </c>
    </row>
    <row r="215" spans="1:65" s="77" customFormat="1" ht="20" customHeight="1" x14ac:dyDescent="0.35">
      <c r="B215" s="77" t="s">
        <v>37</v>
      </c>
      <c r="E215" s="283"/>
      <c r="F215" s="294">
        <f>F195</f>
        <v>70000000</v>
      </c>
      <c r="G215" s="123">
        <f>F215+G195</f>
        <v>130000000</v>
      </c>
      <c r="H215" s="123">
        <f t="shared" ref="H215:I215" si="142">G215+H195</f>
        <v>180000000</v>
      </c>
      <c r="I215" s="123">
        <f t="shared" si="142"/>
        <v>230000000</v>
      </c>
      <c r="J215" s="123">
        <f>I215+J195</f>
        <v>265000000</v>
      </c>
      <c r="K215" s="123">
        <f>IF((SUM(L179:O179)/K210-K214+K233)/$C$86&lt;$C$85,$C$85*$C$86,SUM(L179:O179)/K210-K214+K233)</f>
        <v>291894300.94693142</v>
      </c>
      <c r="L215" s="123">
        <f t="shared" ref="L215:AU215" si="143">IF((SUM(M179:P179)/L210-L214+L233)/$C$86&lt;$C$85,$C$85*$C$86,SUM(M179:P179)/L210-L214+L233)</f>
        <v>298271658.29273069</v>
      </c>
      <c r="M215" s="123">
        <f>IF((SUM(N179:Q179)/M210-M214+M233)/$C$86&lt;$C$85,$C$85*$C$86,SUM(N179:Q179)/M210-M214+M233)</f>
        <v>305633734.32155901</v>
      </c>
      <c r="N215" s="123">
        <f t="shared" si="143"/>
        <v>312978613.78258026</v>
      </c>
      <c r="O215" s="123">
        <f t="shared" si="143"/>
        <v>320124213.30206496</v>
      </c>
      <c r="P215" s="123">
        <f t="shared" si="143"/>
        <v>327413818.44640517</v>
      </c>
      <c r="Q215" s="123">
        <f t="shared" si="143"/>
        <v>335689011.93036789</v>
      </c>
      <c r="R215" s="123">
        <f t="shared" si="143"/>
        <v>343945258.06888092</v>
      </c>
      <c r="S215" s="123">
        <f t="shared" si="143"/>
        <v>351982535.32297868</v>
      </c>
      <c r="T215" s="123">
        <f>IF((SUM(U179:X179)/T210-T214+T233)/$C$86&lt;$C$85,$C$85*$C$86,SUM(U179:X179)/T210-T214+T233)</f>
        <v>360179411.78265536</v>
      </c>
      <c r="U215" s="123">
        <f t="shared" si="143"/>
        <v>369740920.40322036</v>
      </c>
      <c r="V215" s="123">
        <f t="shared" si="143"/>
        <v>379281555.04490757</v>
      </c>
      <c r="W215" s="123">
        <f t="shared" si="143"/>
        <v>388581572.53016174</v>
      </c>
      <c r="X215" s="123">
        <f t="shared" si="143"/>
        <v>398058371.98524642</v>
      </c>
      <c r="Y215" s="123">
        <f t="shared" si="143"/>
        <v>408438611.18951076</v>
      </c>
      <c r="Z215" s="123">
        <f t="shared" si="143"/>
        <v>418795856.32065392</v>
      </c>
      <c r="AA215" s="123">
        <f t="shared" si="143"/>
        <v>428888681.17986614</v>
      </c>
      <c r="AB215" s="123">
        <f t="shared" si="143"/>
        <v>439177219.62067777</v>
      </c>
      <c r="AC215" s="123">
        <f t="shared" si="143"/>
        <v>451020542.04419696</v>
      </c>
      <c r="AD215" s="123">
        <f t="shared" si="143"/>
        <v>462838537.47351855</v>
      </c>
      <c r="AE215" s="123">
        <f t="shared" si="143"/>
        <v>474365939.62559086</v>
      </c>
      <c r="AF215" s="123">
        <f t="shared" si="143"/>
        <v>486109911.46757811</v>
      </c>
      <c r="AG215" s="123">
        <f t="shared" si="143"/>
        <v>498668262.60371202</v>
      </c>
      <c r="AH215" s="123">
        <f t="shared" si="143"/>
        <v>511165269.20343316</v>
      </c>
      <c r="AI215" s="123">
        <f t="shared" si="143"/>
        <v>523387761.28715128</v>
      </c>
      <c r="AJ215" s="123">
        <f t="shared" si="143"/>
        <v>535815576.39471185</v>
      </c>
      <c r="AK215" s="123">
        <f t="shared" si="143"/>
        <v>550050153.34084368</v>
      </c>
      <c r="AL215" s="123">
        <f t="shared" si="143"/>
        <v>564258400.00684929</v>
      </c>
      <c r="AM215" s="123">
        <f t="shared" si="143"/>
        <v>578164987.84460902</v>
      </c>
      <c r="AN215" s="123">
        <f t="shared" si="143"/>
        <v>592298587.97199452</v>
      </c>
      <c r="AO215" s="123">
        <f t="shared" si="143"/>
        <v>607834168.64187205</v>
      </c>
      <c r="AP215" s="123">
        <f t="shared" si="143"/>
        <v>623340755.06876075</v>
      </c>
      <c r="AQ215" s="123">
        <f t="shared" si="143"/>
        <v>638515835.5284816</v>
      </c>
      <c r="AR215" s="123">
        <f t="shared" si="143"/>
        <v>653941815.39427471</v>
      </c>
      <c r="AS215" s="123">
        <f t="shared" si="143"/>
        <v>671361208.44375813</v>
      </c>
      <c r="AT215" s="123">
        <f t="shared" si="143"/>
        <v>688748676.11773241</v>
      </c>
      <c r="AU215" s="123">
        <f t="shared" si="143"/>
        <v>705771818.06268668</v>
      </c>
      <c r="AV215" s="117">
        <f>AU215/AT215*AU215</f>
        <v>723215704.7171793</v>
      </c>
      <c r="AW215" s="117">
        <f t="shared" ref="AW215:AZ215" si="144">AV215/AU215*AV215</f>
        <v>741090735.22557366</v>
      </c>
      <c r="AX215" s="117">
        <f t="shared" si="144"/>
        <v>759407565.75793314</v>
      </c>
      <c r="AY215" s="117">
        <f t="shared" si="144"/>
        <v>778177115.86267948</v>
      </c>
      <c r="AZ215" s="117">
        <f t="shared" si="144"/>
        <v>797410574.97626352</v>
      </c>
      <c r="BC215" s="245" t="str">
        <f>B215</f>
        <v>Акционерный капитал (Equity)</v>
      </c>
      <c r="BD215" s="235">
        <f>_xlfn.MAXIFS($F215:$AZ215,$F$98:$AZ$98,BD$164)</f>
        <v>265000000</v>
      </c>
      <c r="BE215" s="235">
        <f t="shared" si="141"/>
        <v>312978613.78258026</v>
      </c>
      <c r="BF215" s="235">
        <f t="shared" si="141"/>
        <v>343945258.06888092</v>
      </c>
      <c r="BG215" s="235">
        <f t="shared" si="141"/>
        <v>379281555.04490757</v>
      </c>
      <c r="BH215" s="235">
        <f t="shared" si="141"/>
        <v>418795856.32065392</v>
      </c>
      <c r="BI215" s="235">
        <f t="shared" si="141"/>
        <v>462838537.47351855</v>
      </c>
      <c r="BJ215" s="235">
        <f t="shared" si="141"/>
        <v>511165269.20343316</v>
      </c>
      <c r="BK215" s="235">
        <f t="shared" si="141"/>
        <v>564258400.00684929</v>
      </c>
      <c r="BL215" s="235">
        <f t="shared" si="141"/>
        <v>623340755.06876075</v>
      </c>
      <c r="BM215" s="235">
        <f t="shared" si="141"/>
        <v>688748676.11773241</v>
      </c>
    </row>
    <row r="216" spans="1:65" s="77" customFormat="1" ht="20" customHeight="1" x14ac:dyDescent="0.35">
      <c r="E216" s="283"/>
      <c r="F216" s="294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123"/>
      <c r="AY216" s="123"/>
      <c r="AZ216" s="123"/>
      <c r="BC216" s="243" t="s">
        <v>199</v>
      </c>
      <c r="BD216" s="244">
        <v>0.1</v>
      </c>
      <c r="BE216" s="244">
        <f>BE218/BD218-1</f>
        <v>9.1982370487632359E-2</v>
      </c>
      <c r="BF216" s="244">
        <f t="shared" ref="BF216:BM216" si="145">BF218/BE218-1</f>
        <v>9.8941726120023388E-2</v>
      </c>
      <c r="BG216" s="244">
        <f t="shared" si="145"/>
        <v>0.10273814261730552</v>
      </c>
      <c r="BH216" s="244">
        <f t="shared" si="145"/>
        <v>0.1041819744465764</v>
      </c>
      <c r="BI216" s="244">
        <f t="shared" si="145"/>
        <v>0.10516503563288149</v>
      </c>
      <c r="BJ216" s="244">
        <f t="shared" si="145"/>
        <v>0.1044138026917858</v>
      </c>
      <c r="BK216" s="244">
        <f t="shared" si="145"/>
        <v>0.10386685872878854</v>
      </c>
      <c r="BL216" s="244">
        <f t="shared" si="145"/>
        <v>0.10470797609959237</v>
      </c>
      <c r="BM216" s="244">
        <f t="shared" si="145"/>
        <v>0.10493124429471412</v>
      </c>
    </row>
    <row r="217" spans="1:65" s="220" customFormat="1" ht="20" hidden="1" customHeight="1" x14ac:dyDescent="0.35">
      <c r="B217" s="222" t="s">
        <v>58</v>
      </c>
      <c r="C217" s="216"/>
      <c r="D217" s="216"/>
      <c r="E217" s="284"/>
      <c r="F217" s="285">
        <f>F121</f>
        <v>7000</v>
      </c>
      <c r="G217" s="286">
        <f t="shared" ref="G217:AZ217" si="146">F217+G121</f>
        <v>12714.285714285714</v>
      </c>
      <c r="H217" s="286">
        <f t="shared" si="146"/>
        <v>17158.730158730159</v>
      </c>
      <c r="I217" s="286">
        <f t="shared" si="146"/>
        <v>21414.04930766633</v>
      </c>
      <c r="J217" s="286">
        <f t="shared" si="146"/>
        <v>24392.772711921651</v>
      </c>
      <c r="K217" s="286">
        <f t="shared" si="146"/>
        <v>24392.772711921651</v>
      </c>
      <c r="L217" s="286">
        <f t="shared" si="146"/>
        <v>24392.772711921651</v>
      </c>
      <c r="M217" s="286">
        <f t="shared" si="146"/>
        <v>24392.772711921651</v>
      </c>
      <c r="N217" s="286">
        <f t="shared" si="146"/>
        <v>24392.772711921651</v>
      </c>
      <c r="O217" s="286">
        <f t="shared" si="146"/>
        <v>24392.772711921651</v>
      </c>
      <c r="P217" s="286">
        <f t="shared" si="146"/>
        <v>24392.772711921651</v>
      </c>
      <c r="Q217" s="286">
        <f t="shared" si="146"/>
        <v>24392.772711921651</v>
      </c>
      <c r="R217" s="286">
        <f t="shared" si="146"/>
        <v>24392.772711921651</v>
      </c>
      <c r="S217" s="286">
        <f t="shared" si="146"/>
        <v>24392.772711921651</v>
      </c>
      <c r="T217" s="286">
        <f t="shared" si="146"/>
        <v>24392.772711921651</v>
      </c>
      <c r="U217" s="286">
        <f t="shared" si="146"/>
        <v>24392.772711921651</v>
      </c>
      <c r="V217" s="286">
        <f t="shared" si="146"/>
        <v>24392.772711921651</v>
      </c>
      <c r="W217" s="286">
        <f t="shared" si="146"/>
        <v>24392.772711921651</v>
      </c>
      <c r="X217" s="286">
        <f t="shared" si="146"/>
        <v>24392.772711921651</v>
      </c>
      <c r="Y217" s="286">
        <f t="shared" si="146"/>
        <v>24392.772711921651</v>
      </c>
      <c r="Z217" s="286">
        <f t="shared" si="146"/>
        <v>24392.772711921651</v>
      </c>
      <c r="AA217" s="286">
        <f t="shared" si="146"/>
        <v>24392.772711921651</v>
      </c>
      <c r="AB217" s="286">
        <f t="shared" si="146"/>
        <v>24392.772711921651</v>
      </c>
      <c r="AC217" s="286">
        <f t="shared" si="146"/>
        <v>24392.772711921651</v>
      </c>
      <c r="AD217" s="286">
        <f t="shared" si="146"/>
        <v>24392.772711921651</v>
      </c>
      <c r="AE217" s="286">
        <f t="shared" si="146"/>
        <v>24392.772711921651</v>
      </c>
      <c r="AF217" s="286">
        <f t="shared" si="146"/>
        <v>24392.772711921651</v>
      </c>
      <c r="AG217" s="286">
        <f t="shared" si="146"/>
        <v>24392.772711921651</v>
      </c>
      <c r="AH217" s="286">
        <f t="shared" si="146"/>
        <v>24392.772711921651</v>
      </c>
      <c r="AI217" s="286">
        <f t="shared" si="146"/>
        <v>24392.772711921651</v>
      </c>
      <c r="AJ217" s="286">
        <f t="shared" si="146"/>
        <v>24392.772711921651</v>
      </c>
      <c r="AK217" s="286">
        <f t="shared" si="146"/>
        <v>24392.772711921651</v>
      </c>
      <c r="AL217" s="286">
        <f t="shared" si="146"/>
        <v>24392.772711921651</v>
      </c>
      <c r="AM217" s="286">
        <f t="shared" si="146"/>
        <v>24392.772711921651</v>
      </c>
      <c r="AN217" s="286">
        <f t="shared" si="146"/>
        <v>24392.772711921651</v>
      </c>
      <c r="AO217" s="286">
        <f t="shared" si="146"/>
        <v>24392.772711921651</v>
      </c>
      <c r="AP217" s="286">
        <f t="shared" si="146"/>
        <v>24392.772711921651</v>
      </c>
      <c r="AQ217" s="286">
        <f t="shared" si="146"/>
        <v>24392.772711921651</v>
      </c>
      <c r="AR217" s="286">
        <f t="shared" si="146"/>
        <v>24392.772711921651</v>
      </c>
      <c r="AS217" s="286">
        <f t="shared" si="146"/>
        <v>24392.772711921651</v>
      </c>
      <c r="AT217" s="286">
        <f t="shared" si="146"/>
        <v>24392.772711921651</v>
      </c>
      <c r="AU217" s="286">
        <f t="shared" si="146"/>
        <v>24392.772711921651</v>
      </c>
      <c r="AV217" s="286">
        <f t="shared" si="146"/>
        <v>24392.772711921651</v>
      </c>
      <c r="AW217" s="286">
        <f t="shared" si="146"/>
        <v>24392.772711921651</v>
      </c>
      <c r="AX217" s="286">
        <f t="shared" si="146"/>
        <v>24392.772711921651</v>
      </c>
      <c r="AY217" s="286">
        <f t="shared" si="146"/>
        <v>24392.772711921651</v>
      </c>
      <c r="AZ217" s="286">
        <f t="shared" si="146"/>
        <v>24392.772711921651</v>
      </c>
      <c r="BC217" s="245"/>
      <c r="BD217" s="232"/>
      <c r="BE217" s="232"/>
      <c r="BF217" s="232"/>
      <c r="BG217" s="232"/>
      <c r="BH217" s="232"/>
      <c r="BI217" s="232"/>
      <c r="BJ217" s="232"/>
      <c r="BK217" s="232"/>
      <c r="BL217" s="232"/>
      <c r="BM217" s="232"/>
    </row>
    <row r="218" spans="1:65" s="217" customFormat="1" ht="20" customHeight="1" x14ac:dyDescent="0.35">
      <c r="A218" s="216"/>
      <c r="B218" s="222" t="s">
        <v>167</v>
      </c>
      <c r="D218" s="216"/>
      <c r="E218" s="218"/>
      <c r="F218" s="285">
        <v>10000</v>
      </c>
      <c r="G218" s="286">
        <f>G120</f>
        <v>10500</v>
      </c>
      <c r="H218" s="286">
        <f>H120</f>
        <v>11250</v>
      </c>
      <c r="I218" s="286">
        <f>I120</f>
        <v>11750</v>
      </c>
      <c r="J218" s="286">
        <f>J120</f>
        <v>11750</v>
      </c>
      <c r="K218" s="286">
        <f>K215/$C$86</f>
        <v>11966.425645587717</v>
      </c>
      <c r="L218" s="286">
        <f t="shared" ref="L218:AZ218" si="147">L215/$C$86</f>
        <v>12227.870189884332</v>
      </c>
      <c r="M218" s="286">
        <f t="shared" si="147"/>
        <v>12529.684014650149</v>
      </c>
      <c r="N218" s="286">
        <f t="shared" si="147"/>
        <v>12830.792853229681</v>
      </c>
      <c r="O218" s="286">
        <f t="shared" si="147"/>
        <v>13123.732061243225</v>
      </c>
      <c r="P218" s="286">
        <f t="shared" si="147"/>
        <v>13422.574887781657</v>
      </c>
      <c r="Q218" s="286">
        <f t="shared" si="147"/>
        <v>13761.822647013158</v>
      </c>
      <c r="R218" s="286">
        <f t="shared" si="147"/>
        <v>14100.293645616686</v>
      </c>
      <c r="S218" s="286">
        <f t="shared" si="147"/>
        <v>14429.787850683815</v>
      </c>
      <c r="T218" s="286">
        <f>T215/$C$86</f>
        <v>14765.824944805163</v>
      </c>
      <c r="U218" s="286">
        <f t="shared" si="147"/>
        <v>15157.806157170247</v>
      </c>
      <c r="V218" s="286">
        <f t="shared" si="147"/>
        <v>15548.931625125941</v>
      </c>
      <c r="W218" s="286">
        <f t="shared" si="147"/>
        <v>15930.192812408226</v>
      </c>
      <c r="X218" s="286">
        <f t="shared" si="147"/>
        <v>16318.701309043912</v>
      </c>
      <c r="Y218" s="286">
        <f t="shared" si="147"/>
        <v>16744.246995336114</v>
      </c>
      <c r="Z218" s="286">
        <f t="shared" si="147"/>
        <v>17168.850022366376</v>
      </c>
      <c r="AA218" s="286">
        <f t="shared" si="147"/>
        <v>17582.612942162676</v>
      </c>
      <c r="AB218" s="286">
        <f t="shared" si="147"/>
        <v>18004.399286926313</v>
      </c>
      <c r="AC218" s="286">
        <f t="shared" si="147"/>
        <v>18489.925166390232</v>
      </c>
      <c r="AD218" s="286">
        <f t="shared" si="147"/>
        <v>18974.412746744132</v>
      </c>
      <c r="AE218" s="286">
        <f t="shared" si="147"/>
        <v>19446.987237894064</v>
      </c>
      <c r="AF218" s="286">
        <f t="shared" si="147"/>
        <v>19928.440165803629</v>
      </c>
      <c r="AG218" s="286">
        <f t="shared" si="147"/>
        <v>20443.279183263756</v>
      </c>
      <c r="AH218" s="286">
        <f t="shared" si="147"/>
        <v>20955.603335475178</v>
      </c>
      <c r="AI218" s="286">
        <f t="shared" si="147"/>
        <v>21456.673559351144</v>
      </c>
      <c r="AJ218" s="286">
        <f t="shared" si="147"/>
        <v>21966.16115448159</v>
      </c>
      <c r="AK218" s="286">
        <f t="shared" si="147"/>
        <v>22549.718305373866</v>
      </c>
      <c r="AL218" s="286">
        <f t="shared" si="147"/>
        <v>23132.196026697507</v>
      </c>
      <c r="AM218" s="286">
        <f t="shared" si="147"/>
        <v>23702.307018260311</v>
      </c>
      <c r="AN218" s="286">
        <f t="shared" si="147"/>
        <v>24281.724548784747</v>
      </c>
      <c r="AO218" s="286">
        <f t="shared" si="147"/>
        <v>24918.61732244982</v>
      </c>
      <c r="AP218" s="286">
        <f t="shared" si="147"/>
        <v>25554.321455392037</v>
      </c>
      <c r="AQ218" s="286">
        <f t="shared" si="147"/>
        <v>26176.435252742522</v>
      </c>
      <c r="AR218" s="286">
        <f t="shared" si="147"/>
        <v>26808.834859297043</v>
      </c>
      <c r="AS218" s="286">
        <f t="shared" si="147"/>
        <v>27522.955933403962</v>
      </c>
      <c r="AT218" s="286">
        <f t="shared" si="147"/>
        <v>28235.768202813433</v>
      </c>
      <c r="AU218" s="286">
        <f t="shared" si="147"/>
        <v>28933.644665895237</v>
      </c>
      <c r="AV218" s="286">
        <f t="shared" si="147"/>
        <v>29648.769873697758</v>
      </c>
      <c r="AW218" s="286">
        <f t="shared" si="147"/>
        <v>30381.570146938455</v>
      </c>
      <c r="AX218" s="286">
        <f t="shared" si="147"/>
        <v>31132.482343296</v>
      </c>
      <c r="AY218" s="286">
        <f t="shared" si="147"/>
        <v>31901.954117842277</v>
      </c>
      <c r="AZ218" s="286">
        <f t="shared" si="147"/>
        <v>32690.444189911203</v>
      </c>
      <c r="BC218" s="245" t="str">
        <f>B218</f>
        <v>Цена акции, руб.</v>
      </c>
      <c r="BD218" s="235">
        <f>J218</f>
        <v>11750</v>
      </c>
      <c r="BE218" s="235">
        <f t="shared" ref="BE218:BM218" si="148">_xlfn.MAXIFS($F218:$AZ218,$F$98:$AZ$98,BE$164)</f>
        <v>12830.792853229681</v>
      </c>
      <c r="BF218" s="235">
        <f t="shared" si="148"/>
        <v>14100.293645616686</v>
      </c>
      <c r="BG218" s="235">
        <f t="shared" si="148"/>
        <v>15548.931625125941</v>
      </c>
      <c r="BH218" s="235">
        <f t="shared" si="148"/>
        <v>17168.850022366376</v>
      </c>
      <c r="BI218" s="235">
        <f t="shared" si="148"/>
        <v>18974.412746744132</v>
      </c>
      <c r="BJ218" s="235">
        <f t="shared" si="148"/>
        <v>20955.603335475178</v>
      </c>
      <c r="BK218" s="235">
        <f t="shared" si="148"/>
        <v>23132.196026697507</v>
      </c>
      <c r="BL218" s="235">
        <f t="shared" si="148"/>
        <v>25554.321455392037</v>
      </c>
      <c r="BM218" s="235">
        <f t="shared" si="148"/>
        <v>28235.768202813433</v>
      </c>
    </row>
    <row r="219" spans="1:65" s="217" customFormat="1" ht="20" customHeight="1" x14ac:dyDescent="0.35">
      <c r="A219" s="216"/>
      <c r="B219" s="222" t="s">
        <v>168</v>
      </c>
      <c r="D219" s="216"/>
      <c r="E219" s="218"/>
      <c r="F219" s="285">
        <f>CHOOSE($C$1,F220,F221,F222)</f>
        <v>0</v>
      </c>
      <c r="G219" s="221">
        <f t="shared" ref="G219:AZ219" si="149">CHOOSE($C$1,G220,G221,G222)</f>
        <v>0</v>
      </c>
      <c r="H219" s="221">
        <f t="shared" si="149"/>
        <v>0</v>
      </c>
      <c r="I219" s="221">
        <f>CHOOSE($C$1,I220,I221,I222)</f>
        <v>200</v>
      </c>
      <c r="J219" s="221">
        <f t="shared" si="149"/>
        <v>200</v>
      </c>
      <c r="K219" s="221">
        <f t="shared" si="149"/>
        <v>200</v>
      </c>
      <c r="L219" s="221">
        <f t="shared" si="149"/>
        <v>200</v>
      </c>
      <c r="M219" s="221">
        <f>CHOOSE($C$1,M220,M221,M222)</f>
        <v>210</v>
      </c>
      <c r="N219" s="221">
        <f t="shared" si="149"/>
        <v>210</v>
      </c>
      <c r="O219" s="221">
        <f t="shared" si="149"/>
        <v>210</v>
      </c>
      <c r="P219" s="221">
        <f t="shared" si="149"/>
        <v>210</v>
      </c>
      <c r="Q219" s="221">
        <f t="shared" si="149"/>
        <v>225</v>
      </c>
      <c r="R219" s="221">
        <f t="shared" si="149"/>
        <v>225</v>
      </c>
      <c r="S219" s="221">
        <f t="shared" si="149"/>
        <v>225</v>
      </c>
      <c r="T219" s="221">
        <f t="shared" si="149"/>
        <v>225</v>
      </c>
      <c r="U219" s="221">
        <f t="shared" si="149"/>
        <v>230</v>
      </c>
      <c r="V219" s="221">
        <f t="shared" si="149"/>
        <v>230</v>
      </c>
      <c r="W219" s="221">
        <f t="shared" si="149"/>
        <v>230</v>
      </c>
      <c r="X219" s="221">
        <f t="shared" si="149"/>
        <v>230</v>
      </c>
      <c r="Y219" s="221">
        <f t="shared" si="149"/>
        <v>260</v>
      </c>
      <c r="Z219" s="221">
        <f t="shared" si="149"/>
        <v>260</v>
      </c>
      <c r="AA219" s="221">
        <f t="shared" si="149"/>
        <v>260</v>
      </c>
      <c r="AB219" s="221">
        <f t="shared" si="149"/>
        <v>260</v>
      </c>
      <c r="AC219" s="221">
        <f t="shared" si="149"/>
        <v>270</v>
      </c>
      <c r="AD219" s="221">
        <f t="shared" si="149"/>
        <v>270</v>
      </c>
      <c r="AE219" s="221">
        <f t="shared" si="149"/>
        <v>270</v>
      </c>
      <c r="AF219" s="221">
        <f t="shared" si="149"/>
        <v>270</v>
      </c>
      <c r="AG219" s="221">
        <f t="shared" si="149"/>
        <v>285</v>
      </c>
      <c r="AH219" s="221">
        <f t="shared" si="149"/>
        <v>285</v>
      </c>
      <c r="AI219" s="221">
        <f t="shared" si="149"/>
        <v>285</v>
      </c>
      <c r="AJ219" s="221">
        <f t="shared" si="149"/>
        <v>285</v>
      </c>
      <c r="AK219" s="221">
        <f t="shared" si="149"/>
        <v>295</v>
      </c>
      <c r="AL219" s="221">
        <f t="shared" si="149"/>
        <v>295</v>
      </c>
      <c r="AM219" s="221">
        <f t="shared" si="149"/>
        <v>295</v>
      </c>
      <c r="AN219" s="221">
        <f t="shared" si="149"/>
        <v>295</v>
      </c>
      <c r="AO219" s="221">
        <f t="shared" si="149"/>
        <v>330</v>
      </c>
      <c r="AP219" s="221">
        <f t="shared" si="149"/>
        <v>330</v>
      </c>
      <c r="AQ219" s="221">
        <f t="shared" si="149"/>
        <v>330</v>
      </c>
      <c r="AR219" s="221">
        <f t="shared" si="149"/>
        <v>330</v>
      </c>
      <c r="AS219" s="221">
        <f>CHOOSE($C$1,AS220,AS221,AS222)</f>
        <v>350</v>
      </c>
      <c r="AT219" s="221">
        <f t="shared" si="149"/>
        <v>350</v>
      </c>
      <c r="AU219" s="221">
        <f t="shared" si="149"/>
        <v>350</v>
      </c>
      <c r="AV219" s="221">
        <f t="shared" si="149"/>
        <v>350</v>
      </c>
      <c r="AW219" s="221">
        <f t="shared" si="149"/>
        <v>400</v>
      </c>
      <c r="AX219" s="221">
        <f t="shared" si="149"/>
        <v>400</v>
      </c>
      <c r="AY219" s="221">
        <f t="shared" si="149"/>
        <v>400</v>
      </c>
      <c r="AZ219" s="221">
        <f t="shared" si="149"/>
        <v>400</v>
      </c>
      <c r="BC219" s="245" t="str">
        <f>B219</f>
        <v>Дивиденд, руб. / акцию</v>
      </c>
      <c r="BD219" s="235">
        <v>400</v>
      </c>
      <c r="BE219" s="235">
        <f>AVERAGEIF($F$98:$AZ$98,BE$164,$F$219:$AZ$219)*4</f>
        <v>820</v>
      </c>
      <c r="BF219" s="235">
        <f>AVERAGEIF($F$98:$AZ$98,BF$164,$F$219:$AZ$219)*4</f>
        <v>870</v>
      </c>
      <c r="BG219" s="235">
        <f>AVERAGEIF($F$98:$AZ$98,BG$164,$F$219:$AZ$219)*4</f>
        <v>910</v>
      </c>
      <c r="BH219" s="235">
        <f>AVERAGEIF($F$98:$AZ$98,BH$164,$F$219:$AZ$219)*4</f>
        <v>980</v>
      </c>
      <c r="BI219" s="235">
        <f t="shared" ref="BI219:BM219" si="150">AVERAGEIF($F$98:$AZ$98,BI$164,$F$219:$AZ$219)*4</f>
        <v>1060</v>
      </c>
      <c r="BJ219" s="235">
        <f t="shared" si="150"/>
        <v>1110</v>
      </c>
      <c r="BK219" s="235">
        <f t="shared" si="150"/>
        <v>1160</v>
      </c>
      <c r="BL219" s="235">
        <f t="shared" si="150"/>
        <v>1250</v>
      </c>
      <c r="BM219" s="235">
        <f t="shared" si="150"/>
        <v>1360</v>
      </c>
    </row>
    <row r="220" spans="1:65" s="226" customFormat="1" ht="20" hidden="1" customHeight="1" outlineLevel="1" x14ac:dyDescent="0.35">
      <c r="A220" s="224"/>
      <c r="B220" s="225" t="s">
        <v>259</v>
      </c>
      <c r="D220" s="224"/>
      <c r="E220" s="227"/>
      <c r="F220" s="285">
        <v>0</v>
      </c>
      <c r="G220" s="221">
        <v>0</v>
      </c>
      <c r="H220" s="221">
        <v>0</v>
      </c>
      <c r="I220" s="221">
        <v>200</v>
      </c>
      <c r="J220" s="221">
        <v>200</v>
      </c>
      <c r="K220" s="221">
        <v>200</v>
      </c>
      <c r="L220" s="221">
        <v>200</v>
      </c>
      <c r="M220" s="221">
        <v>210</v>
      </c>
      <c r="N220" s="221">
        <v>210</v>
      </c>
      <c r="O220" s="221">
        <v>210</v>
      </c>
      <c r="P220" s="221">
        <v>210</v>
      </c>
      <c r="Q220" s="221">
        <v>225</v>
      </c>
      <c r="R220" s="221">
        <v>225</v>
      </c>
      <c r="S220" s="221">
        <v>225</v>
      </c>
      <c r="T220" s="221">
        <v>225</v>
      </c>
      <c r="U220" s="221">
        <v>230</v>
      </c>
      <c r="V220" s="221">
        <v>230</v>
      </c>
      <c r="W220" s="221">
        <v>230</v>
      </c>
      <c r="X220" s="221">
        <v>230</v>
      </c>
      <c r="Y220" s="221">
        <v>260</v>
      </c>
      <c r="Z220" s="221">
        <v>260</v>
      </c>
      <c r="AA220" s="221">
        <v>260</v>
      </c>
      <c r="AB220" s="221">
        <v>260</v>
      </c>
      <c r="AC220" s="221">
        <v>270</v>
      </c>
      <c r="AD220" s="221">
        <v>270</v>
      </c>
      <c r="AE220" s="221">
        <v>270</v>
      </c>
      <c r="AF220" s="221">
        <v>270</v>
      </c>
      <c r="AG220" s="221">
        <v>285</v>
      </c>
      <c r="AH220" s="221">
        <v>285</v>
      </c>
      <c r="AI220" s="221">
        <v>285</v>
      </c>
      <c r="AJ220" s="221">
        <v>285</v>
      </c>
      <c r="AK220" s="221">
        <v>295</v>
      </c>
      <c r="AL220" s="221">
        <v>295</v>
      </c>
      <c r="AM220" s="221">
        <v>295</v>
      </c>
      <c r="AN220" s="221">
        <v>295</v>
      </c>
      <c r="AO220" s="221">
        <v>330</v>
      </c>
      <c r="AP220" s="221">
        <v>330</v>
      </c>
      <c r="AQ220" s="221">
        <v>330</v>
      </c>
      <c r="AR220" s="221">
        <v>330</v>
      </c>
      <c r="AS220" s="221">
        <v>350</v>
      </c>
      <c r="AT220" s="221">
        <v>350</v>
      </c>
      <c r="AU220" s="221">
        <v>350</v>
      </c>
      <c r="AV220" s="221">
        <v>350</v>
      </c>
      <c r="AW220" s="221">
        <v>400</v>
      </c>
      <c r="AX220" s="221">
        <v>400</v>
      </c>
      <c r="AY220" s="221">
        <v>400</v>
      </c>
      <c r="AZ220" s="221">
        <v>400</v>
      </c>
      <c r="BC220" s="251"/>
      <c r="BD220" s="252"/>
      <c r="BE220" s="252"/>
      <c r="BF220" s="252"/>
      <c r="BG220" s="252"/>
      <c r="BH220" s="252"/>
      <c r="BI220" s="252"/>
      <c r="BJ220" s="252"/>
      <c r="BK220" s="252"/>
      <c r="BL220" s="252"/>
      <c r="BM220" s="252"/>
    </row>
    <row r="221" spans="1:65" s="226" customFormat="1" ht="20" hidden="1" customHeight="1" outlineLevel="1" x14ac:dyDescent="0.25">
      <c r="A221" s="224"/>
      <c r="B221" s="225" t="s">
        <v>260</v>
      </c>
      <c r="D221" s="224"/>
      <c r="E221" s="227"/>
      <c r="F221" s="285">
        <v>0</v>
      </c>
      <c r="G221" s="221">
        <v>0</v>
      </c>
      <c r="H221" s="221">
        <v>0</v>
      </c>
      <c r="I221" s="221">
        <v>200</v>
      </c>
      <c r="J221" s="221">
        <v>200</v>
      </c>
      <c r="K221" s="221">
        <v>200</v>
      </c>
      <c r="L221" s="221">
        <v>200</v>
      </c>
      <c r="M221" s="221">
        <v>235</v>
      </c>
      <c r="N221" s="221">
        <v>235</v>
      </c>
      <c r="O221" s="221">
        <v>235</v>
      </c>
      <c r="P221" s="221">
        <v>235</v>
      </c>
      <c r="Q221" s="221">
        <v>250</v>
      </c>
      <c r="R221" s="221">
        <v>250</v>
      </c>
      <c r="S221" s="221">
        <v>250</v>
      </c>
      <c r="T221" s="221">
        <v>250</v>
      </c>
      <c r="U221" s="221">
        <v>270</v>
      </c>
      <c r="V221" s="221">
        <v>270</v>
      </c>
      <c r="W221" s="221">
        <v>270</v>
      </c>
      <c r="X221" s="221">
        <v>270</v>
      </c>
      <c r="Y221" s="221">
        <v>300</v>
      </c>
      <c r="Z221" s="221">
        <v>300</v>
      </c>
      <c r="AA221" s="221">
        <v>300</v>
      </c>
      <c r="AB221" s="221">
        <v>300</v>
      </c>
      <c r="AC221" s="221">
        <v>345</v>
      </c>
      <c r="AD221" s="221">
        <v>345</v>
      </c>
      <c r="AE221" s="221">
        <v>345</v>
      </c>
      <c r="AF221" s="221">
        <v>345</v>
      </c>
      <c r="AG221" s="221">
        <v>365</v>
      </c>
      <c r="AH221" s="221">
        <v>365</v>
      </c>
      <c r="AI221" s="221">
        <v>365</v>
      </c>
      <c r="AJ221" s="221">
        <v>365</v>
      </c>
      <c r="AK221" s="221">
        <v>425</v>
      </c>
      <c r="AL221" s="221">
        <v>425</v>
      </c>
      <c r="AM221" s="221">
        <v>425</v>
      </c>
      <c r="AN221" s="221">
        <v>425</v>
      </c>
      <c r="AO221" s="221">
        <v>500</v>
      </c>
      <c r="AP221" s="221">
        <v>500</v>
      </c>
      <c r="AQ221" s="221">
        <v>500</v>
      </c>
      <c r="AR221" s="221">
        <v>500</v>
      </c>
      <c r="AS221" s="221">
        <v>550</v>
      </c>
      <c r="AT221" s="221">
        <v>550</v>
      </c>
      <c r="AU221" s="221">
        <v>550</v>
      </c>
      <c r="AV221" s="221">
        <v>550</v>
      </c>
      <c r="AW221" s="221">
        <v>650</v>
      </c>
      <c r="AX221" s="221">
        <v>650</v>
      </c>
      <c r="AY221" s="221">
        <v>650</v>
      </c>
      <c r="AZ221" s="221">
        <v>650</v>
      </c>
    </row>
    <row r="222" spans="1:65" s="226" customFormat="1" ht="20" hidden="1" customHeight="1" outlineLevel="1" x14ac:dyDescent="0.35">
      <c r="A222" s="224"/>
      <c r="B222" s="225" t="s">
        <v>261</v>
      </c>
      <c r="D222" s="224"/>
      <c r="E222" s="227"/>
      <c r="F222" s="285">
        <v>0</v>
      </c>
      <c r="G222" s="221">
        <v>0</v>
      </c>
      <c r="H222" s="221">
        <v>0</v>
      </c>
      <c r="I222" s="221">
        <v>200</v>
      </c>
      <c r="J222" s="221">
        <v>200</v>
      </c>
      <c r="K222" s="221">
        <v>200</v>
      </c>
      <c r="L222" s="221">
        <v>200</v>
      </c>
      <c r="M222" s="221">
        <v>200</v>
      </c>
      <c r="N222" s="221">
        <v>200</v>
      </c>
      <c r="O222" s="221">
        <v>200</v>
      </c>
      <c r="P222" s="221">
        <v>200</v>
      </c>
      <c r="Q222" s="221">
        <v>200</v>
      </c>
      <c r="R222" s="221">
        <v>200</v>
      </c>
      <c r="S222" s="221">
        <v>200</v>
      </c>
      <c r="T222" s="221">
        <v>200</v>
      </c>
      <c r="U222" s="221">
        <v>205</v>
      </c>
      <c r="V222" s="221">
        <v>205</v>
      </c>
      <c r="W222" s="221">
        <v>205</v>
      </c>
      <c r="X222" s="221">
        <v>205</v>
      </c>
      <c r="Y222" s="221">
        <v>210</v>
      </c>
      <c r="Z222" s="221">
        <v>210</v>
      </c>
      <c r="AA222" s="221">
        <v>210</v>
      </c>
      <c r="AB222" s="221">
        <v>210</v>
      </c>
      <c r="AC222" s="221">
        <v>210</v>
      </c>
      <c r="AD222" s="221">
        <v>210</v>
      </c>
      <c r="AE222" s="221">
        <v>215</v>
      </c>
      <c r="AF222" s="221">
        <v>215</v>
      </c>
      <c r="AG222" s="221">
        <v>220</v>
      </c>
      <c r="AH222" s="221">
        <v>220</v>
      </c>
      <c r="AI222" s="221">
        <v>240</v>
      </c>
      <c r="AJ222" s="221">
        <v>240</v>
      </c>
      <c r="AK222" s="221">
        <v>240</v>
      </c>
      <c r="AL222" s="221">
        <v>240</v>
      </c>
      <c r="AM222" s="221">
        <v>255</v>
      </c>
      <c r="AN222" s="221">
        <v>255</v>
      </c>
      <c r="AO222" s="221">
        <v>255</v>
      </c>
      <c r="AP222" s="221">
        <v>255</v>
      </c>
      <c r="AQ222" s="221">
        <v>250</v>
      </c>
      <c r="AR222" s="221">
        <v>250</v>
      </c>
      <c r="AS222" s="221">
        <v>280</v>
      </c>
      <c r="AT222" s="221">
        <v>280</v>
      </c>
      <c r="AU222" s="221">
        <v>280</v>
      </c>
      <c r="AV222" s="221">
        <v>280</v>
      </c>
      <c r="AW222" s="221">
        <v>280</v>
      </c>
      <c r="AX222" s="221">
        <v>280</v>
      </c>
      <c r="AY222" s="221">
        <v>280</v>
      </c>
      <c r="AZ222" s="221">
        <v>280</v>
      </c>
      <c r="BC222" s="251"/>
      <c r="BD222" s="252"/>
      <c r="BE222" s="252"/>
      <c r="BF222" s="252"/>
      <c r="BG222" s="252"/>
      <c r="BH222" s="252"/>
      <c r="BI222" s="252"/>
      <c r="BJ222" s="252"/>
      <c r="BK222" s="252"/>
      <c r="BL222" s="252"/>
      <c r="BM222" s="252"/>
    </row>
    <row r="223" spans="1:65" s="217" customFormat="1" ht="20" hidden="1" customHeight="1" outlineLevel="1" collapsed="1" x14ac:dyDescent="0.35">
      <c r="A223" s="216"/>
      <c r="B223" s="222"/>
      <c r="D223" s="216"/>
      <c r="E223" s="218"/>
      <c r="F223" s="285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  <c r="AA223" s="221"/>
      <c r="AB223" s="221"/>
      <c r="AC223" s="221"/>
      <c r="AD223" s="221"/>
      <c r="AE223" s="221"/>
      <c r="AF223" s="221"/>
      <c r="AG223" s="221"/>
      <c r="AH223" s="221"/>
      <c r="AI223" s="221"/>
      <c r="AJ223" s="221"/>
      <c r="AK223" s="221"/>
      <c r="AL223" s="221"/>
      <c r="AM223" s="221"/>
      <c r="AN223" s="221"/>
      <c r="AO223" s="221"/>
      <c r="AP223" s="221"/>
      <c r="AQ223" s="221"/>
      <c r="AR223" s="221"/>
      <c r="AS223" s="221"/>
      <c r="AT223" s="221"/>
      <c r="AU223" s="221"/>
      <c r="AV223" s="221"/>
      <c r="AW223" s="221"/>
      <c r="AX223" s="221"/>
      <c r="AY223" s="221"/>
      <c r="AZ223" s="221"/>
      <c r="BC223" s="245"/>
      <c r="BD223" s="235"/>
      <c r="BE223" s="235"/>
      <c r="BF223" s="235"/>
      <c r="BG223" s="235"/>
      <c r="BH223" s="235"/>
      <c r="BI223" s="235"/>
      <c r="BJ223" s="235"/>
      <c r="BK223" s="235"/>
      <c r="BL223" s="235"/>
      <c r="BM223" s="235"/>
    </row>
    <row r="224" spans="1:65" s="217" customFormat="1" ht="20" hidden="1" customHeight="1" outlineLevel="1" x14ac:dyDescent="0.35">
      <c r="A224" s="216"/>
      <c r="B224" s="223" t="s">
        <v>169</v>
      </c>
      <c r="D224" s="216"/>
      <c r="E224" s="218"/>
      <c r="F224" s="287"/>
      <c r="G224" s="219"/>
      <c r="H224" s="219"/>
      <c r="I224" s="219">
        <f t="shared" ref="I224:AZ224" si="151">IFERROR(I218/E218-1+SUM(F219:I219)/E218,0)</f>
        <v>0</v>
      </c>
      <c r="J224" s="219">
        <f>IFERROR(J218/F218-1+SUM(G219:J219)/F218,0)</f>
        <v>0.21500000000000005</v>
      </c>
      <c r="K224" s="219">
        <f>IFERROR(K218/G218-1+SUM(H219:K219)/G218,0)</f>
        <v>0.19680244243692543</v>
      </c>
      <c r="L224" s="219">
        <f>IFERROR(L218/H218-1+SUM(I219:L219)/H218,0)</f>
        <v>0.15803290576749629</v>
      </c>
      <c r="M224" s="219">
        <f>IFERROR(M218/I218-1+SUM(J219:M219)/I218,0)</f>
        <v>0.13529225656597019</v>
      </c>
      <c r="N224" s="219">
        <f>IFERROR(N218/J218-1+SUM(K219:N219)/J218,0)</f>
        <v>0.16176960453018555</v>
      </c>
      <c r="O224" s="219">
        <f t="shared" si="151"/>
        <v>0.16607351890313815</v>
      </c>
      <c r="P224" s="219">
        <f t="shared" si="151"/>
        <v>0.16639894489398177</v>
      </c>
      <c r="Q224" s="219">
        <f t="shared" si="151"/>
        <v>0.16657552017454338</v>
      </c>
      <c r="R224" s="219">
        <f t="shared" si="151"/>
        <v>0.16674735668018081</v>
      </c>
      <c r="S224" s="219">
        <f t="shared" si="151"/>
        <v>0.1669537124970098</v>
      </c>
      <c r="T224" s="219">
        <f t="shared" si="151"/>
        <v>0.16712516605629069</v>
      </c>
      <c r="U224" s="219">
        <f t="shared" si="151"/>
        <v>0.16720049147388857</v>
      </c>
      <c r="V224" s="219">
        <f t="shared" si="151"/>
        <v>0.1672758056526345</v>
      </c>
      <c r="W224" s="219">
        <f t="shared" si="151"/>
        <v>0.16739019219953039</v>
      </c>
      <c r="X224" s="219">
        <f t="shared" si="151"/>
        <v>0.16747295687727515</v>
      </c>
      <c r="Y224" s="219">
        <f t="shared" si="151"/>
        <v>0.16733561650450504</v>
      </c>
      <c r="Z224" s="219">
        <f t="shared" si="151"/>
        <v>0.16720881279323113</v>
      </c>
      <c r="AA224" s="219">
        <f t="shared" si="151"/>
        <v>0.16713043973207009</v>
      </c>
      <c r="AB224" s="219">
        <f t="shared" si="151"/>
        <v>0.1670290990847296</v>
      </c>
      <c r="AC224" s="219">
        <f t="shared" si="151"/>
        <v>0.1669635052464776</v>
      </c>
      <c r="AD224" s="219">
        <f t="shared" si="151"/>
        <v>0.16690475603460359</v>
      </c>
      <c r="AE224" s="219">
        <f t="shared" si="151"/>
        <v>0.16689068373306615</v>
      </c>
      <c r="AF224" s="219">
        <f t="shared" si="151"/>
        <v>0.16685038089877646</v>
      </c>
      <c r="AG224" s="219">
        <f t="shared" si="151"/>
        <v>0.16486567627729615</v>
      </c>
      <c r="AH224" s="219">
        <f t="shared" si="151"/>
        <v>0.16291363690617894</v>
      </c>
      <c r="AI224" s="219">
        <f t="shared" si="151"/>
        <v>0.16119136003487911</v>
      </c>
      <c r="AJ224" s="219">
        <f t="shared" si="151"/>
        <v>0.15945658376869834</v>
      </c>
      <c r="AK224" s="219">
        <f t="shared" si="151"/>
        <v>0.15929142741327193</v>
      </c>
      <c r="AL224" s="219">
        <f t="shared" si="151"/>
        <v>0.15922198172046434</v>
      </c>
      <c r="AM224" s="219">
        <f t="shared" si="151"/>
        <v>0.15918746442505219</v>
      </c>
      <c r="AN224" s="219">
        <f t="shared" si="151"/>
        <v>0.15913401389163453</v>
      </c>
      <c r="AO224" s="219">
        <f t="shared" si="151"/>
        <v>0.15893320566323293</v>
      </c>
      <c r="AP224" s="219">
        <f t="shared" si="151"/>
        <v>0.15874521487092824</v>
      </c>
      <c r="AQ224" s="219">
        <f t="shared" si="151"/>
        <v>0.15859756738389089</v>
      </c>
      <c r="AR224" s="219">
        <f t="shared" si="151"/>
        <v>0.15843645301152379</v>
      </c>
      <c r="AS224" s="219">
        <f t="shared" si="151"/>
        <v>0.15828882316839421</v>
      </c>
      <c r="AT224" s="219">
        <f t="shared" si="151"/>
        <v>0.15815120563761395</v>
      </c>
      <c r="AU224" s="219">
        <f t="shared" si="151"/>
        <v>0.15805091003440813</v>
      </c>
      <c r="AV224" s="219">
        <f t="shared" si="151"/>
        <v>0.15815439338014897</v>
      </c>
      <c r="AW224" s="219">
        <f t="shared" si="151"/>
        <v>0.15654620179459827</v>
      </c>
      <c r="AX224" s="219">
        <f t="shared" si="151"/>
        <v>0.155714344617848</v>
      </c>
      <c r="AY224" s="219">
        <f t="shared" si="151"/>
        <v>0.15616108872978865</v>
      </c>
      <c r="AZ224" s="219">
        <f t="shared" si="151"/>
        <v>0.15655537602358333</v>
      </c>
      <c r="BC224" s="245"/>
      <c r="BD224" s="253"/>
      <c r="BE224" s="253"/>
      <c r="BF224" s="254"/>
      <c r="BG224" s="254"/>
      <c r="BH224" s="254"/>
      <c r="BI224" s="254"/>
      <c r="BJ224" s="254"/>
      <c r="BK224" s="254"/>
      <c r="BL224" s="254"/>
      <c r="BM224" s="254"/>
    </row>
    <row r="225" spans="1:83" s="78" customFormat="1" ht="20" customHeight="1" collapsed="1" x14ac:dyDescent="0.35">
      <c r="A225" s="39"/>
      <c r="B225" s="62"/>
      <c r="D225" s="63"/>
      <c r="E225" s="79"/>
      <c r="F225" s="306"/>
      <c r="G225" s="302"/>
      <c r="H225" s="302"/>
      <c r="I225" s="302"/>
      <c r="J225" s="302"/>
      <c r="K225" s="302"/>
      <c r="L225" s="302"/>
      <c r="M225" s="302"/>
      <c r="N225" s="302"/>
      <c r="O225" s="302"/>
      <c r="P225" s="302"/>
      <c r="Q225" s="302"/>
      <c r="R225" s="302"/>
      <c r="S225" s="302"/>
      <c r="T225" s="302"/>
      <c r="U225" s="302"/>
      <c r="V225" s="302"/>
      <c r="W225" s="302"/>
      <c r="X225" s="302"/>
      <c r="Y225" s="302"/>
      <c r="Z225" s="302"/>
      <c r="AA225" s="302"/>
      <c r="AB225" s="302"/>
      <c r="AC225" s="302"/>
      <c r="AD225" s="302"/>
      <c r="AE225" s="302"/>
      <c r="AF225" s="302"/>
      <c r="AG225" s="302"/>
      <c r="AH225" s="302"/>
      <c r="AI225" s="302"/>
      <c r="AJ225" s="302"/>
      <c r="AK225" s="302"/>
      <c r="AL225" s="302"/>
      <c r="AM225" s="302"/>
      <c r="AN225" s="302"/>
      <c r="AO225" s="302"/>
      <c r="AP225" s="302"/>
      <c r="AQ225" s="302"/>
      <c r="AR225" s="302"/>
      <c r="AS225" s="302"/>
      <c r="AT225" s="302"/>
      <c r="AU225" s="302"/>
      <c r="AV225" s="302"/>
      <c r="AW225" s="302"/>
      <c r="AX225" s="302"/>
      <c r="AY225" s="302"/>
      <c r="AZ225" s="302"/>
      <c r="BC225" s="255"/>
      <c r="BD225" s="255"/>
      <c r="BE225" s="255"/>
      <c r="BF225" s="255"/>
      <c r="BG225" s="255"/>
      <c r="BH225" s="255"/>
      <c r="BI225" s="255"/>
      <c r="BJ225" s="255"/>
      <c r="BK225" s="255"/>
      <c r="BL225" s="255"/>
      <c r="BM225" s="255"/>
    </row>
    <row r="226" spans="1:83" s="52" customFormat="1" ht="20" customHeight="1" x14ac:dyDescent="0.35">
      <c r="A226" s="11"/>
      <c r="B226" s="68" t="s">
        <v>28</v>
      </c>
      <c r="C226" s="68"/>
      <c r="D226" s="68"/>
      <c r="E226" s="288"/>
      <c r="F226" s="308">
        <v>0</v>
      </c>
      <c r="G226" s="44">
        <v>0</v>
      </c>
      <c r="H226" s="44">
        <v>0</v>
      </c>
      <c r="I226" s="44">
        <f>I219*I217</f>
        <v>4282809.8615332656</v>
      </c>
      <c r="J226" s="44">
        <f t="shared" ref="J226:AZ226" si="152">J219*J217</f>
        <v>4878554.5423843302</v>
      </c>
      <c r="K226" s="44">
        <f t="shared" si="152"/>
        <v>4878554.5423843302</v>
      </c>
      <c r="L226" s="44">
        <f t="shared" si="152"/>
        <v>4878554.5423843302</v>
      </c>
      <c r="M226" s="44">
        <f>M219*M217</f>
        <v>5122482.2695035469</v>
      </c>
      <c r="N226" s="44">
        <f t="shared" si="152"/>
        <v>5122482.2695035469</v>
      </c>
      <c r="O226" s="44">
        <f t="shared" si="152"/>
        <v>5122482.2695035469</v>
      </c>
      <c r="P226" s="44">
        <f t="shared" si="152"/>
        <v>5122482.2695035469</v>
      </c>
      <c r="Q226" s="44">
        <f t="shared" si="152"/>
        <v>5488373.860182371</v>
      </c>
      <c r="R226" s="44">
        <f t="shared" si="152"/>
        <v>5488373.860182371</v>
      </c>
      <c r="S226" s="44">
        <f t="shared" si="152"/>
        <v>5488373.860182371</v>
      </c>
      <c r="T226" s="44">
        <f t="shared" si="152"/>
        <v>5488373.860182371</v>
      </c>
      <c r="U226" s="44">
        <f t="shared" si="152"/>
        <v>5610337.7237419793</v>
      </c>
      <c r="V226" s="44">
        <f t="shared" si="152"/>
        <v>5610337.7237419793</v>
      </c>
      <c r="W226" s="44">
        <f t="shared" si="152"/>
        <v>5610337.7237419793</v>
      </c>
      <c r="X226" s="44">
        <f t="shared" si="152"/>
        <v>5610337.7237419793</v>
      </c>
      <c r="Y226" s="44">
        <f t="shared" si="152"/>
        <v>6342120.9050996294</v>
      </c>
      <c r="Z226" s="44">
        <f t="shared" si="152"/>
        <v>6342120.9050996294</v>
      </c>
      <c r="AA226" s="44">
        <f t="shared" si="152"/>
        <v>6342120.9050996294</v>
      </c>
      <c r="AB226" s="44">
        <f t="shared" si="152"/>
        <v>6342120.9050996294</v>
      </c>
      <c r="AC226" s="44">
        <f t="shared" si="152"/>
        <v>6586048.6322188461</v>
      </c>
      <c r="AD226" s="44">
        <f t="shared" si="152"/>
        <v>6586048.6322188461</v>
      </c>
      <c r="AE226" s="44">
        <f t="shared" si="152"/>
        <v>6586048.6322188461</v>
      </c>
      <c r="AF226" s="44">
        <f t="shared" si="152"/>
        <v>6586048.6322188461</v>
      </c>
      <c r="AG226" s="44">
        <f t="shared" si="152"/>
        <v>6951940.2228976702</v>
      </c>
      <c r="AH226" s="44">
        <f t="shared" si="152"/>
        <v>6951940.2228976702</v>
      </c>
      <c r="AI226" s="44">
        <f t="shared" si="152"/>
        <v>6951940.2228976702</v>
      </c>
      <c r="AJ226" s="44">
        <f t="shared" si="152"/>
        <v>6951940.2228976702</v>
      </c>
      <c r="AK226" s="44">
        <f t="shared" si="152"/>
        <v>7195867.9500168869</v>
      </c>
      <c r="AL226" s="44">
        <f t="shared" si="152"/>
        <v>7195867.9500168869</v>
      </c>
      <c r="AM226" s="44">
        <f t="shared" si="152"/>
        <v>7195867.9500168869</v>
      </c>
      <c r="AN226" s="44">
        <f t="shared" si="152"/>
        <v>7195867.9500168869</v>
      </c>
      <c r="AO226" s="44">
        <f t="shared" si="152"/>
        <v>8049614.9949341444</v>
      </c>
      <c r="AP226" s="44">
        <f t="shared" si="152"/>
        <v>8049614.9949341444</v>
      </c>
      <c r="AQ226" s="44">
        <f t="shared" si="152"/>
        <v>8049614.9949341444</v>
      </c>
      <c r="AR226" s="44">
        <f t="shared" si="152"/>
        <v>8049614.9949341444</v>
      </c>
      <c r="AS226" s="44">
        <f t="shared" si="152"/>
        <v>8537470.4491725769</v>
      </c>
      <c r="AT226" s="44">
        <f t="shared" si="152"/>
        <v>8537470.4491725769</v>
      </c>
      <c r="AU226" s="44">
        <f t="shared" si="152"/>
        <v>8537470.4491725769</v>
      </c>
      <c r="AV226" s="44">
        <f t="shared" si="152"/>
        <v>8537470.4491725769</v>
      </c>
      <c r="AW226" s="44">
        <f t="shared" si="152"/>
        <v>9757109.0847686604</v>
      </c>
      <c r="AX226" s="44">
        <f t="shared" si="152"/>
        <v>9757109.0847686604</v>
      </c>
      <c r="AY226" s="44">
        <f t="shared" si="152"/>
        <v>9757109.0847686604</v>
      </c>
      <c r="AZ226" s="44">
        <f t="shared" si="152"/>
        <v>9757109.0847686604</v>
      </c>
      <c r="BC226" s="246" t="str">
        <f>B226</f>
        <v>Дивиденды</v>
      </c>
      <c r="BD226" s="247">
        <f t="shared" ref="BD226:BM226" si="153">SUMIF($F$98:$AZ$98,BD$164,$F226:$AZ226)</f>
        <v>9161364.4039175957</v>
      </c>
      <c r="BE226" s="247">
        <f t="shared" si="153"/>
        <v>20002073.623775754</v>
      </c>
      <c r="BF226" s="247">
        <f t="shared" si="153"/>
        <v>21221712.259371836</v>
      </c>
      <c r="BG226" s="247">
        <f t="shared" si="153"/>
        <v>22197423.167848699</v>
      </c>
      <c r="BH226" s="247">
        <f t="shared" si="153"/>
        <v>23904917.257683218</v>
      </c>
      <c r="BI226" s="247">
        <f t="shared" si="153"/>
        <v>25856339.074636951</v>
      </c>
      <c r="BJ226" s="247">
        <f t="shared" si="153"/>
        <v>27075977.710233033</v>
      </c>
      <c r="BK226" s="247">
        <f t="shared" si="153"/>
        <v>28295616.345829114</v>
      </c>
      <c r="BL226" s="247">
        <f t="shared" si="153"/>
        <v>30490965.889902063</v>
      </c>
      <c r="BM226" s="247">
        <f t="shared" si="153"/>
        <v>33174170.888213441</v>
      </c>
    </row>
    <row r="227" spans="1:83" s="65" customFormat="1" ht="20" hidden="1" customHeight="1" x14ac:dyDescent="0.35">
      <c r="A227" s="11"/>
      <c r="B227" s="81"/>
      <c r="C227" s="82"/>
      <c r="D227" s="77"/>
      <c r="E227" s="83"/>
      <c r="F227" s="116"/>
      <c r="G227" s="290"/>
      <c r="H227" s="290"/>
      <c r="I227" s="290"/>
      <c r="J227" s="290"/>
      <c r="K227" s="290"/>
      <c r="L227" s="291"/>
      <c r="M227" s="291"/>
      <c r="N227" s="291"/>
      <c r="O227" s="291"/>
      <c r="P227" s="291"/>
      <c r="Q227" s="291"/>
      <c r="R227" s="291"/>
      <c r="S227" s="291"/>
      <c r="T227" s="291"/>
      <c r="U227" s="291"/>
      <c r="V227" s="291"/>
      <c r="W227" s="291"/>
      <c r="X227" s="290"/>
      <c r="Y227" s="290"/>
      <c r="Z227" s="290"/>
      <c r="AA227" s="290"/>
      <c r="AB227" s="290"/>
      <c r="AC227" s="290"/>
      <c r="AD227" s="290"/>
      <c r="AE227" s="290"/>
      <c r="AF227" s="290"/>
      <c r="AG227" s="290"/>
      <c r="AH227" s="290"/>
      <c r="AI227" s="290"/>
      <c r="AJ227" s="290"/>
      <c r="AK227" s="290"/>
      <c r="AL227" s="290"/>
      <c r="AM227" s="290"/>
      <c r="AN227" s="290"/>
      <c r="AO227" s="290"/>
      <c r="AP227" s="290"/>
      <c r="AQ227" s="290"/>
      <c r="AR227" s="290"/>
      <c r="AS227" s="290"/>
      <c r="AT227" s="290"/>
      <c r="AU227" s="290"/>
      <c r="AV227" s="290"/>
      <c r="AW227" s="290"/>
      <c r="AX227" s="290"/>
      <c r="AY227" s="290"/>
      <c r="AZ227" s="290"/>
      <c r="BC227" s="243" t="s">
        <v>195</v>
      </c>
      <c r="BD227" s="244">
        <v>0.08</v>
      </c>
      <c r="BE227" s="244">
        <f t="shared" ref="BE227:BM227" si="154">BE219/10000</f>
        <v>8.2000000000000003E-2</v>
      </c>
      <c r="BF227" s="244">
        <f t="shared" si="154"/>
        <v>8.6999999999999994E-2</v>
      </c>
      <c r="BG227" s="244">
        <f t="shared" si="154"/>
        <v>9.0999999999999998E-2</v>
      </c>
      <c r="BH227" s="244">
        <f t="shared" si="154"/>
        <v>9.8000000000000004E-2</v>
      </c>
      <c r="BI227" s="244">
        <f t="shared" si="154"/>
        <v>0.106</v>
      </c>
      <c r="BJ227" s="244">
        <f t="shared" si="154"/>
        <v>0.111</v>
      </c>
      <c r="BK227" s="244">
        <f t="shared" si="154"/>
        <v>0.11600000000000001</v>
      </c>
      <c r="BL227" s="244">
        <f t="shared" si="154"/>
        <v>0.125</v>
      </c>
      <c r="BM227" s="244">
        <f t="shared" si="154"/>
        <v>0.13600000000000001</v>
      </c>
    </row>
    <row r="228" spans="1:83" s="78" customFormat="1" ht="20" hidden="1" customHeight="1" x14ac:dyDescent="0.35">
      <c r="A228" s="39"/>
      <c r="B228" s="84" t="s">
        <v>39</v>
      </c>
      <c r="D228" s="63"/>
      <c r="E228" s="79"/>
      <c r="F228" s="91"/>
      <c r="G228" s="80"/>
      <c r="H228" s="80"/>
      <c r="I228" s="80">
        <f t="shared" ref="I228:AZ228" si="155">I219/$C$82*4</f>
        <v>0.08</v>
      </c>
      <c r="J228" s="80">
        <f t="shared" si="155"/>
        <v>0.08</v>
      </c>
      <c r="K228" s="80">
        <f>K219/$C$82*4</f>
        <v>0.08</v>
      </c>
      <c r="L228" s="80">
        <f>L219/$C$82*4</f>
        <v>0.08</v>
      </c>
      <c r="M228" s="80">
        <f>M219/$C$82*4</f>
        <v>8.4000000000000005E-2</v>
      </c>
      <c r="N228" s="80">
        <f t="shared" si="155"/>
        <v>8.4000000000000005E-2</v>
      </c>
      <c r="O228" s="80">
        <f t="shared" si="155"/>
        <v>8.4000000000000005E-2</v>
      </c>
      <c r="P228" s="80">
        <f t="shared" si="155"/>
        <v>8.4000000000000005E-2</v>
      </c>
      <c r="Q228" s="80">
        <f t="shared" si="155"/>
        <v>0.09</v>
      </c>
      <c r="R228" s="80">
        <f t="shared" si="155"/>
        <v>0.09</v>
      </c>
      <c r="S228" s="80">
        <f t="shared" si="155"/>
        <v>0.09</v>
      </c>
      <c r="T228" s="80">
        <f t="shared" si="155"/>
        <v>0.09</v>
      </c>
      <c r="U228" s="80">
        <f t="shared" si="155"/>
        <v>9.1999999999999998E-2</v>
      </c>
      <c r="V228" s="80">
        <f t="shared" si="155"/>
        <v>9.1999999999999998E-2</v>
      </c>
      <c r="W228" s="80">
        <f t="shared" si="155"/>
        <v>9.1999999999999998E-2</v>
      </c>
      <c r="X228" s="80">
        <f t="shared" si="155"/>
        <v>9.1999999999999998E-2</v>
      </c>
      <c r="Y228" s="80">
        <f t="shared" si="155"/>
        <v>0.104</v>
      </c>
      <c r="Z228" s="80">
        <f t="shared" si="155"/>
        <v>0.104</v>
      </c>
      <c r="AA228" s="80">
        <f t="shared" si="155"/>
        <v>0.104</v>
      </c>
      <c r="AB228" s="80">
        <f t="shared" si="155"/>
        <v>0.104</v>
      </c>
      <c r="AC228" s="80">
        <f t="shared" si="155"/>
        <v>0.108</v>
      </c>
      <c r="AD228" s="80">
        <f t="shared" si="155"/>
        <v>0.108</v>
      </c>
      <c r="AE228" s="80">
        <f t="shared" si="155"/>
        <v>0.108</v>
      </c>
      <c r="AF228" s="80">
        <f t="shared" si="155"/>
        <v>0.108</v>
      </c>
      <c r="AG228" s="80">
        <f t="shared" si="155"/>
        <v>0.114</v>
      </c>
      <c r="AH228" s="80">
        <f t="shared" si="155"/>
        <v>0.114</v>
      </c>
      <c r="AI228" s="80">
        <f t="shared" si="155"/>
        <v>0.114</v>
      </c>
      <c r="AJ228" s="80">
        <f t="shared" si="155"/>
        <v>0.114</v>
      </c>
      <c r="AK228" s="80">
        <f t="shared" si="155"/>
        <v>0.11799999999999999</v>
      </c>
      <c r="AL228" s="80">
        <f t="shared" si="155"/>
        <v>0.11799999999999999</v>
      </c>
      <c r="AM228" s="80">
        <f t="shared" si="155"/>
        <v>0.11799999999999999</v>
      </c>
      <c r="AN228" s="80">
        <f t="shared" si="155"/>
        <v>0.11799999999999999</v>
      </c>
      <c r="AO228" s="80">
        <f t="shared" si="155"/>
        <v>0.13200000000000001</v>
      </c>
      <c r="AP228" s="80">
        <f t="shared" si="155"/>
        <v>0.13200000000000001</v>
      </c>
      <c r="AQ228" s="80">
        <f t="shared" si="155"/>
        <v>0.13200000000000001</v>
      </c>
      <c r="AR228" s="80">
        <f t="shared" si="155"/>
        <v>0.13200000000000001</v>
      </c>
      <c r="AS228" s="80">
        <f t="shared" si="155"/>
        <v>0.14000000000000001</v>
      </c>
      <c r="AT228" s="80">
        <f t="shared" si="155"/>
        <v>0.14000000000000001</v>
      </c>
      <c r="AU228" s="80">
        <f t="shared" si="155"/>
        <v>0.14000000000000001</v>
      </c>
      <c r="AV228" s="80">
        <f t="shared" si="155"/>
        <v>0.14000000000000001</v>
      </c>
      <c r="AW228" s="80">
        <f t="shared" si="155"/>
        <v>0.16</v>
      </c>
      <c r="AX228" s="80">
        <f t="shared" si="155"/>
        <v>0.16</v>
      </c>
      <c r="AY228" s="80">
        <f t="shared" si="155"/>
        <v>0.16</v>
      </c>
      <c r="AZ228" s="80">
        <f t="shared" si="155"/>
        <v>0.16</v>
      </c>
      <c r="BC228" s="255"/>
      <c r="BD228" s="255"/>
      <c r="BE228" s="255"/>
      <c r="BF228" s="255"/>
      <c r="BG228" s="255"/>
      <c r="BH228" s="255"/>
      <c r="BI228" s="255"/>
      <c r="BJ228" s="255"/>
      <c r="BK228" s="255"/>
      <c r="BL228" s="255"/>
      <c r="BM228" s="255"/>
    </row>
    <row r="229" spans="1:83" s="65" customFormat="1" ht="20" hidden="1" customHeight="1" x14ac:dyDescent="0.35">
      <c r="A229" s="11"/>
      <c r="B229" s="64"/>
      <c r="D229" s="66"/>
      <c r="E229" s="263"/>
      <c r="F229" s="9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C229" s="243"/>
      <c r="BD229" s="243"/>
      <c r="BE229" s="243"/>
      <c r="BF229" s="243"/>
      <c r="BG229" s="243"/>
      <c r="BH229" s="243"/>
      <c r="BI229" s="243"/>
      <c r="BJ229" s="243"/>
      <c r="BK229" s="243"/>
      <c r="BL229" s="243"/>
      <c r="BM229" s="243"/>
    </row>
    <row r="230" spans="1:83" s="76" customFormat="1" ht="20" hidden="1" customHeight="1" collapsed="1" x14ac:dyDescent="0.35">
      <c r="A230" s="11"/>
      <c r="B230" s="53" t="s">
        <v>14</v>
      </c>
      <c r="C230" s="53"/>
      <c r="D230" s="53"/>
      <c r="E230" s="283"/>
      <c r="F230" s="292">
        <f>$C$68</f>
        <v>1000000</v>
      </c>
      <c r="G230" s="167">
        <v>1000000</v>
      </c>
      <c r="H230" s="167">
        <f>G230</f>
        <v>1000000</v>
      </c>
      <c r="I230" s="167">
        <f t="shared" ref="I230:N230" si="156">H230</f>
        <v>1000000</v>
      </c>
      <c r="J230" s="167">
        <f t="shared" si="156"/>
        <v>1000000</v>
      </c>
      <c r="K230" s="167">
        <v>1000000</v>
      </c>
      <c r="L230" s="167">
        <f>K230</f>
        <v>1000000</v>
      </c>
      <c r="M230" s="167">
        <f t="shared" si="156"/>
        <v>1000000</v>
      </c>
      <c r="N230" s="167">
        <f t="shared" si="156"/>
        <v>1000000</v>
      </c>
      <c r="O230" s="167">
        <f t="shared" ref="O230:AZ230" si="157">$F$230</f>
        <v>1000000</v>
      </c>
      <c r="P230" s="167">
        <f t="shared" si="157"/>
        <v>1000000</v>
      </c>
      <c r="Q230" s="167">
        <f t="shared" si="157"/>
        <v>1000000</v>
      </c>
      <c r="R230" s="167">
        <f t="shared" si="157"/>
        <v>1000000</v>
      </c>
      <c r="S230" s="167">
        <f t="shared" si="157"/>
        <v>1000000</v>
      </c>
      <c r="T230" s="167">
        <f t="shared" si="157"/>
        <v>1000000</v>
      </c>
      <c r="U230" s="167">
        <f t="shared" si="157"/>
        <v>1000000</v>
      </c>
      <c r="V230" s="167">
        <f t="shared" si="157"/>
        <v>1000000</v>
      </c>
      <c r="W230" s="167">
        <f t="shared" si="157"/>
        <v>1000000</v>
      </c>
      <c r="X230" s="167">
        <f t="shared" si="157"/>
        <v>1000000</v>
      </c>
      <c r="Y230" s="167">
        <f t="shared" si="157"/>
        <v>1000000</v>
      </c>
      <c r="Z230" s="167">
        <f t="shared" si="157"/>
        <v>1000000</v>
      </c>
      <c r="AA230" s="167">
        <f t="shared" si="157"/>
        <v>1000000</v>
      </c>
      <c r="AB230" s="167">
        <f t="shared" si="157"/>
        <v>1000000</v>
      </c>
      <c r="AC230" s="167">
        <f t="shared" si="157"/>
        <v>1000000</v>
      </c>
      <c r="AD230" s="167">
        <f t="shared" si="157"/>
        <v>1000000</v>
      </c>
      <c r="AE230" s="167">
        <f t="shared" si="157"/>
        <v>1000000</v>
      </c>
      <c r="AF230" s="167">
        <f t="shared" si="157"/>
        <v>1000000</v>
      </c>
      <c r="AG230" s="167">
        <f t="shared" si="157"/>
        <v>1000000</v>
      </c>
      <c r="AH230" s="167">
        <f t="shared" si="157"/>
        <v>1000000</v>
      </c>
      <c r="AI230" s="167">
        <f t="shared" si="157"/>
        <v>1000000</v>
      </c>
      <c r="AJ230" s="167">
        <f t="shared" si="157"/>
        <v>1000000</v>
      </c>
      <c r="AK230" s="167">
        <f t="shared" si="157"/>
        <v>1000000</v>
      </c>
      <c r="AL230" s="167">
        <f t="shared" si="157"/>
        <v>1000000</v>
      </c>
      <c r="AM230" s="167">
        <f t="shared" si="157"/>
        <v>1000000</v>
      </c>
      <c r="AN230" s="167">
        <f t="shared" si="157"/>
        <v>1000000</v>
      </c>
      <c r="AO230" s="167">
        <f t="shared" si="157"/>
        <v>1000000</v>
      </c>
      <c r="AP230" s="167">
        <f t="shared" si="157"/>
        <v>1000000</v>
      </c>
      <c r="AQ230" s="167">
        <f t="shared" si="157"/>
        <v>1000000</v>
      </c>
      <c r="AR230" s="167">
        <f t="shared" si="157"/>
        <v>1000000</v>
      </c>
      <c r="AS230" s="167">
        <f t="shared" si="157"/>
        <v>1000000</v>
      </c>
      <c r="AT230" s="167">
        <f t="shared" si="157"/>
        <v>1000000</v>
      </c>
      <c r="AU230" s="167">
        <f t="shared" si="157"/>
        <v>1000000</v>
      </c>
      <c r="AV230" s="167">
        <f t="shared" si="157"/>
        <v>1000000</v>
      </c>
      <c r="AW230" s="167">
        <f t="shared" si="157"/>
        <v>1000000</v>
      </c>
      <c r="AX230" s="167">
        <f t="shared" si="157"/>
        <v>1000000</v>
      </c>
      <c r="AY230" s="167">
        <f t="shared" si="157"/>
        <v>1000000</v>
      </c>
      <c r="AZ230" s="167">
        <f t="shared" si="157"/>
        <v>1000000</v>
      </c>
      <c r="BC230" s="256"/>
      <c r="BD230" s="256"/>
      <c r="BE230" s="256"/>
      <c r="BF230" s="256"/>
      <c r="BG230" s="256"/>
      <c r="BH230" s="256"/>
      <c r="BI230" s="256"/>
      <c r="BJ230" s="256"/>
      <c r="BK230" s="256"/>
      <c r="BL230" s="256"/>
      <c r="BM230" s="256"/>
    </row>
    <row r="231" spans="1:83" s="76" customFormat="1" ht="20" hidden="1" customHeight="1" x14ac:dyDescent="0.35">
      <c r="A231" s="11"/>
      <c r="B231" s="53" t="s">
        <v>29</v>
      </c>
      <c r="C231" s="53"/>
      <c r="D231" s="53"/>
      <c r="E231" s="53"/>
      <c r="F231" s="282"/>
      <c r="G231" s="71">
        <f>F233</f>
        <v>20831938.249999985</v>
      </c>
      <c r="H231" s="71">
        <f>G233</f>
        <v>24903265.311940562</v>
      </c>
      <c r="I231" s="71">
        <f>H233</f>
        <v>19123394.553590141</v>
      </c>
      <c r="J231" s="71">
        <f>I233</f>
        <v>25870052.048460554</v>
      </c>
      <c r="K231" s="71">
        <f>J233</f>
        <v>19022353.433891486</v>
      </c>
      <c r="L231" s="71">
        <f t="shared" ref="L231:AT231" si="158">K233</f>
        <v>7714222.0791035295</v>
      </c>
      <c r="M231" s="71">
        <f t="shared" si="158"/>
        <v>6962198.3029765636</v>
      </c>
      <c r="N231" s="71">
        <f t="shared" si="158"/>
        <v>6462986.1914360058</v>
      </c>
      <c r="O231" s="71">
        <f t="shared" si="158"/>
        <v>5946577.5120883901</v>
      </c>
      <c r="P231" s="71">
        <f t="shared" si="158"/>
        <v>5235631.11776671</v>
      </c>
      <c r="Q231" s="71">
        <f t="shared" si="158"/>
        <v>4668690.3483005855</v>
      </c>
      <c r="R231" s="71">
        <f t="shared" si="158"/>
        <v>4282240.1981700063</v>
      </c>
      <c r="S231" s="71">
        <f t="shared" si="158"/>
        <v>3876842.7025898471</v>
      </c>
      <c r="T231" s="71">
        <f t="shared" si="158"/>
        <v>3257337.1048209332</v>
      </c>
      <c r="U231" s="71">
        <f t="shared" si="158"/>
        <v>2797430.7126308624</v>
      </c>
      <c r="V231" s="71">
        <f t="shared" si="158"/>
        <v>2816548.9890136281</v>
      </c>
      <c r="W231" s="71">
        <f t="shared" si="158"/>
        <v>2814793.2865184946</v>
      </c>
      <c r="X231" s="71">
        <f t="shared" si="158"/>
        <v>2577402.7293726988</v>
      </c>
      <c r="Y231" s="71">
        <f t="shared" si="158"/>
        <v>2516794.1420573071</v>
      </c>
      <c r="Z231" s="71">
        <f t="shared" si="158"/>
        <v>2385457.0623745071</v>
      </c>
      <c r="AA231" s="71">
        <f t="shared" si="158"/>
        <v>2231125.9095705738</v>
      </c>
      <c r="AB231" s="71">
        <f t="shared" si="158"/>
        <v>1817481.3441623533</v>
      </c>
      <c r="AC231" s="71">
        <f t="shared" si="158"/>
        <v>1599550.3603535937</v>
      </c>
      <c r="AD231" s="71">
        <f t="shared" si="158"/>
        <v>1864818.2935505519</v>
      </c>
      <c r="AE231" s="71">
        <f t="shared" si="158"/>
        <v>2104759.2325499309</v>
      </c>
      <c r="AF231" s="71">
        <f t="shared" si="158"/>
        <v>2059341.4251098959</v>
      </c>
      <c r="AG231" s="71">
        <f t="shared" si="158"/>
        <v>2230493.3075849367</v>
      </c>
      <c r="AH231" s="71">
        <f t="shared" si="158"/>
        <v>2037280.9119345183</v>
      </c>
      <c r="AI231" s="71">
        <f t="shared" si="158"/>
        <v>1782723.9798713597</v>
      </c>
      <c r="AJ231" s="71">
        <f t="shared" si="158"/>
        <v>1259017.9258853076</v>
      </c>
      <c r="AK231" s="71">
        <f t="shared" si="158"/>
        <v>940634.89574166294</v>
      </c>
      <c r="AL231" s="71">
        <f t="shared" si="158"/>
        <v>1132395.7746701492</v>
      </c>
      <c r="AM231" s="71">
        <f t="shared" si="158"/>
        <v>1297826.37347263</v>
      </c>
      <c r="AN231" s="71">
        <f t="shared" si="158"/>
        <v>1167097.6729611913</v>
      </c>
      <c r="AO231" s="71">
        <f t="shared" si="158"/>
        <v>1263381.2620755127</v>
      </c>
      <c r="AP231" s="71">
        <f t="shared" si="158"/>
        <v>1335365.6712328074</v>
      </c>
      <c r="AQ231" s="71">
        <f t="shared" si="158"/>
        <v>1378355.8374012532</v>
      </c>
      <c r="AR231" s="71">
        <f t="shared" si="158"/>
        <v>1095477.0535571305</v>
      </c>
      <c r="AS231" s="71">
        <f t="shared" si="158"/>
        <v>1063497.6757854344</v>
      </c>
      <c r="AT231" s="71">
        <f t="shared" si="158"/>
        <v>1456023.7870100681</v>
      </c>
      <c r="AU231" s="71">
        <f t="shared" ref="AU231" si="159">AT233</f>
        <v>1816624.5227254666</v>
      </c>
      <c r="AV231" s="71">
        <f t="shared" ref="AV231" si="160">AU233</f>
        <v>1818677.4720051214</v>
      </c>
      <c r="AW231" s="71">
        <f t="shared" ref="AW231" si="161">AV233</f>
        <v>2097935.302635638</v>
      </c>
      <c r="AX231" s="71">
        <f t="shared" ref="AX231" si="162">AW233</f>
        <v>2160849.8971234206</v>
      </c>
      <c r="AY231" s="71">
        <f t="shared" ref="AY231" si="163">AX233</f>
        <v>2190366.7742726281</v>
      </c>
      <c r="AZ231" s="71">
        <f t="shared" ref="AZ231" si="164">AY233</f>
        <v>1826815.7382365409</v>
      </c>
      <c r="BC231" s="256"/>
      <c r="BD231" s="256"/>
      <c r="BE231" s="256"/>
      <c r="BF231" s="256"/>
      <c r="BG231" s="256"/>
      <c r="BH231" s="256"/>
      <c r="BI231" s="256"/>
      <c r="BJ231" s="256"/>
      <c r="BK231" s="256"/>
      <c r="BL231" s="256"/>
      <c r="BM231" s="256"/>
    </row>
    <row r="232" spans="1:83" s="76" customFormat="1" ht="20" hidden="1" customHeight="1" x14ac:dyDescent="0.35">
      <c r="A232" s="11"/>
      <c r="B232" s="53" t="s">
        <v>30</v>
      </c>
      <c r="C232" s="53"/>
      <c r="D232" s="53"/>
      <c r="E232" s="53"/>
      <c r="F232" s="293"/>
      <c r="G232" s="71">
        <f>G233-G231</f>
        <v>4071327.0619405769</v>
      </c>
      <c r="H232" s="71">
        <f>H233-H231</f>
        <v>-5779870.7583504207</v>
      </c>
      <c r="I232" s="71">
        <f>I233-I231</f>
        <v>6746657.4948704131</v>
      </c>
      <c r="J232" s="71">
        <f>J233-J231</f>
        <v>-6847698.614569068</v>
      </c>
      <c r="K232" s="71">
        <f>K233-K231</f>
        <v>-11308131.354787957</v>
      </c>
      <c r="L232" s="71">
        <f t="shared" ref="L232:AT232" si="165">L233-L231</f>
        <v>-752023.77612696588</v>
      </c>
      <c r="M232" s="71">
        <f t="shared" si="165"/>
        <v>-499212.11154055782</v>
      </c>
      <c r="N232" s="71">
        <f t="shared" si="165"/>
        <v>-516408.67934761569</v>
      </c>
      <c r="O232" s="71">
        <f t="shared" si="165"/>
        <v>-710946.39432168007</v>
      </c>
      <c r="P232" s="71">
        <f t="shared" si="165"/>
        <v>-566940.76946612448</v>
      </c>
      <c r="Q232" s="71">
        <f t="shared" si="165"/>
        <v>-386450.15013057925</v>
      </c>
      <c r="R232" s="71">
        <f t="shared" si="165"/>
        <v>-405397.49558015913</v>
      </c>
      <c r="S232" s="71">
        <f t="shared" si="165"/>
        <v>-619505.59776891395</v>
      </c>
      <c r="T232" s="71">
        <f t="shared" si="165"/>
        <v>-459906.39219007082</v>
      </c>
      <c r="U232" s="71">
        <f t="shared" si="165"/>
        <v>19118.276382765733</v>
      </c>
      <c r="V232" s="71">
        <f t="shared" si="165"/>
        <v>-1755.7024951335043</v>
      </c>
      <c r="W232" s="71">
        <f t="shared" si="165"/>
        <v>-237390.55714579578</v>
      </c>
      <c r="X232" s="71">
        <f t="shared" si="165"/>
        <v>-60608.587315391749</v>
      </c>
      <c r="Y232" s="71">
        <f t="shared" si="165"/>
        <v>-131337.07968279999</v>
      </c>
      <c r="Z232" s="71">
        <f t="shared" si="165"/>
        <v>-154331.15280393325</v>
      </c>
      <c r="AA232" s="71">
        <f t="shared" si="165"/>
        <v>-413644.56540822051</v>
      </c>
      <c r="AB232" s="71">
        <f t="shared" si="165"/>
        <v>-217930.9838087596</v>
      </c>
      <c r="AC232" s="71">
        <f t="shared" si="165"/>
        <v>265267.93319695815</v>
      </c>
      <c r="AD232" s="71">
        <f t="shared" si="165"/>
        <v>239940.93899937905</v>
      </c>
      <c r="AE232" s="71">
        <f t="shared" si="165"/>
        <v>-45417.807440035045</v>
      </c>
      <c r="AF232" s="71">
        <f t="shared" si="165"/>
        <v>171151.88247504085</v>
      </c>
      <c r="AG232" s="71">
        <f t="shared" si="165"/>
        <v>-193212.39565041848</v>
      </c>
      <c r="AH232" s="71">
        <f t="shared" si="165"/>
        <v>-254556.9320631586</v>
      </c>
      <c r="AI232" s="71">
        <f t="shared" si="165"/>
        <v>-523706.05398605205</v>
      </c>
      <c r="AJ232" s="71">
        <f t="shared" si="165"/>
        <v>-318383.03014364466</v>
      </c>
      <c r="AK232" s="71">
        <f t="shared" si="165"/>
        <v>191760.87892848626</v>
      </c>
      <c r="AL232" s="71">
        <f t="shared" si="165"/>
        <v>165430.59880248085</v>
      </c>
      <c r="AM232" s="71">
        <f t="shared" si="165"/>
        <v>-130728.70051143877</v>
      </c>
      <c r="AN232" s="71">
        <f t="shared" si="165"/>
        <v>96283.589114321396</v>
      </c>
      <c r="AO232" s="71">
        <f t="shared" si="165"/>
        <v>71984.40915729478</v>
      </c>
      <c r="AP232" s="71">
        <f t="shared" si="165"/>
        <v>42990.166168445721</v>
      </c>
      <c r="AQ232" s="71">
        <f t="shared" si="165"/>
        <v>-282878.78384412266</v>
      </c>
      <c r="AR232" s="71">
        <f t="shared" si="165"/>
        <v>-31979.377771696076</v>
      </c>
      <c r="AS232" s="71">
        <f t="shared" si="165"/>
        <v>392526.11122463364</v>
      </c>
      <c r="AT232" s="71">
        <f t="shared" si="165"/>
        <v>360600.73571539856</v>
      </c>
      <c r="AU232" s="71">
        <f t="shared" ref="AU232:AZ232" si="166">AU233-AU231</f>
        <v>2052.9492796547711</v>
      </c>
      <c r="AV232" s="71">
        <f t="shared" si="166"/>
        <v>279257.83063051663</v>
      </c>
      <c r="AW232" s="71">
        <f t="shared" si="166"/>
        <v>62914.594487782568</v>
      </c>
      <c r="AX232" s="71">
        <f t="shared" si="166"/>
        <v>29516.877149207518</v>
      </c>
      <c r="AY232" s="71">
        <f t="shared" si="166"/>
        <v>-363551.0360360872</v>
      </c>
      <c r="AZ232" s="71">
        <f t="shared" si="166"/>
        <v>-58677.861132409424</v>
      </c>
      <c r="BC232" s="256"/>
      <c r="BD232" s="256"/>
      <c r="BE232" s="256"/>
      <c r="BF232" s="256"/>
      <c r="BG232" s="256"/>
      <c r="BH232" s="256"/>
      <c r="BI232" s="256"/>
      <c r="BJ232" s="256"/>
      <c r="BK232" s="256"/>
      <c r="BL232" s="256"/>
      <c r="BM232" s="256"/>
    </row>
    <row r="233" spans="1:83" s="85" customFormat="1" ht="20" hidden="1" customHeight="1" x14ac:dyDescent="0.35">
      <c r="A233" s="56"/>
      <c r="B233" s="43" t="s">
        <v>31</v>
      </c>
      <c r="C233" s="43"/>
      <c r="D233" s="43"/>
      <c r="E233" s="289"/>
      <c r="F233" s="279">
        <f>F208-F226</f>
        <v>20831938.249999985</v>
      </c>
      <c r="G233" s="92">
        <f>G231+G208-G226</f>
        <v>24903265.311940562</v>
      </c>
      <c r="H233" s="92">
        <f>H231+H208-H226</f>
        <v>19123394.553590141</v>
      </c>
      <c r="I233" s="92">
        <f>I231+I208-I226</f>
        <v>25870052.048460554</v>
      </c>
      <c r="J233" s="92">
        <f>J231+J208-J226</f>
        <v>19022353.433891486</v>
      </c>
      <c r="K233" s="92">
        <f>K231+K208-K226</f>
        <v>7714222.0791035295</v>
      </c>
      <c r="L233" s="92">
        <f t="shared" ref="L233:AZ233" si="167">L231+L208-L226</f>
        <v>6962198.3029765636</v>
      </c>
      <c r="M233" s="92">
        <f t="shared" si="167"/>
        <v>6462986.1914360058</v>
      </c>
      <c r="N233" s="92">
        <f t="shared" si="167"/>
        <v>5946577.5120883901</v>
      </c>
      <c r="O233" s="92">
        <f t="shared" si="167"/>
        <v>5235631.11776671</v>
      </c>
      <c r="P233" s="92">
        <f t="shared" si="167"/>
        <v>4668690.3483005855</v>
      </c>
      <c r="Q233" s="92">
        <f t="shared" si="167"/>
        <v>4282240.1981700063</v>
      </c>
      <c r="R233" s="92">
        <f t="shared" si="167"/>
        <v>3876842.7025898471</v>
      </c>
      <c r="S233" s="92">
        <f>S231+S208-S226</f>
        <v>3257337.1048209332</v>
      </c>
      <c r="T233" s="92">
        <f>T231+T208-T226</f>
        <v>2797430.7126308624</v>
      </c>
      <c r="U233" s="92">
        <f t="shared" si="167"/>
        <v>2816548.9890136281</v>
      </c>
      <c r="V233" s="92">
        <f t="shared" si="167"/>
        <v>2814793.2865184946</v>
      </c>
      <c r="W233" s="92">
        <f t="shared" si="167"/>
        <v>2577402.7293726988</v>
      </c>
      <c r="X233" s="92">
        <f t="shared" si="167"/>
        <v>2516794.1420573071</v>
      </c>
      <c r="Y233" s="92">
        <f t="shared" si="167"/>
        <v>2385457.0623745071</v>
      </c>
      <c r="Z233" s="92">
        <f t="shared" si="167"/>
        <v>2231125.9095705738</v>
      </c>
      <c r="AA233" s="92">
        <f t="shared" si="167"/>
        <v>1817481.3441623533</v>
      </c>
      <c r="AB233" s="92">
        <f t="shared" si="167"/>
        <v>1599550.3603535937</v>
      </c>
      <c r="AC233" s="92">
        <f t="shared" si="167"/>
        <v>1864818.2935505519</v>
      </c>
      <c r="AD233" s="92">
        <f t="shared" si="167"/>
        <v>2104759.2325499309</v>
      </c>
      <c r="AE233" s="92">
        <f t="shared" si="167"/>
        <v>2059341.4251098959</v>
      </c>
      <c r="AF233" s="92">
        <f t="shared" si="167"/>
        <v>2230493.3075849367</v>
      </c>
      <c r="AG233" s="92">
        <f t="shared" si="167"/>
        <v>2037280.9119345183</v>
      </c>
      <c r="AH233" s="92">
        <f t="shared" si="167"/>
        <v>1782723.9798713597</v>
      </c>
      <c r="AI233" s="92">
        <f t="shared" si="167"/>
        <v>1259017.9258853076</v>
      </c>
      <c r="AJ233" s="92">
        <f t="shared" si="167"/>
        <v>940634.89574166294</v>
      </c>
      <c r="AK233" s="92">
        <f t="shared" si="167"/>
        <v>1132395.7746701492</v>
      </c>
      <c r="AL233" s="92">
        <f t="shared" si="167"/>
        <v>1297826.37347263</v>
      </c>
      <c r="AM233" s="92">
        <f t="shared" si="167"/>
        <v>1167097.6729611913</v>
      </c>
      <c r="AN233" s="92">
        <f t="shared" si="167"/>
        <v>1263381.2620755127</v>
      </c>
      <c r="AO233" s="92">
        <f>AO231+AO208-AO226</f>
        <v>1335365.6712328074</v>
      </c>
      <c r="AP233" s="92">
        <f t="shared" si="167"/>
        <v>1378355.8374012532</v>
      </c>
      <c r="AQ233" s="92">
        <f t="shared" si="167"/>
        <v>1095477.0535571305</v>
      </c>
      <c r="AR233" s="92">
        <f t="shared" si="167"/>
        <v>1063497.6757854344</v>
      </c>
      <c r="AS233" s="92">
        <f t="shared" si="167"/>
        <v>1456023.7870100681</v>
      </c>
      <c r="AT233" s="92">
        <f t="shared" si="167"/>
        <v>1816624.5227254666</v>
      </c>
      <c r="AU233" s="92">
        <f t="shared" si="167"/>
        <v>1818677.4720051214</v>
      </c>
      <c r="AV233" s="92">
        <f t="shared" si="167"/>
        <v>2097935.302635638</v>
      </c>
      <c r="AW233" s="92">
        <f t="shared" si="167"/>
        <v>2160849.8971234206</v>
      </c>
      <c r="AX233" s="92">
        <f t="shared" si="167"/>
        <v>2190366.7742726281</v>
      </c>
      <c r="AY233" s="92">
        <f t="shared" si="167"/>
        <v>1826815.7382365409</v>
      </c>
      <c r="AZ233" s="92">
        <f t="shared" si="167"/>
        <v>1768137.8771041315</v>
      </c>
      <c r="BC233" s="257"/>
      <c r="BD233" s="257"/>
      <c r="BE233" s="257"/>
      <c r="BF233" s="257"/>
      <c r="BG233" s="257"/>
      <c r="BH233" s="257"/>
      <c r="BI233" s="257"/>
      <c r="BJ233" s="257"/>
      <c r="BK233" s="257"/>
      <c r="BL233" s="257"/>
      <c r="BM233" s="257"/>
    </row>
    <row r="234" spans="1:83" s="52" customFormat="1" ht="20" customHeight="1" x14ac:dyDescent="0.35">
      <c r="A234" s="11"/>
      <c r="B234" s="86"/>
      <c r="C234" s="87"/>
      <c r="D234" s="87"/>
      <c r="E234" s="93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4"/>
      <c r="AV234" s="94"/>
      <c r="AW234" s="94"/>
      <c r="AX234" s="94"/>
      <c r="AY234" s="94"/>
      <c r="AZ234" s="94"/>
      <c r="BC234" s="234"/>
      <c r="BD234" s="234"/>
      <c r="BE234" s="234"/>
      <c r="BF234" s="234"/>
      <c r="BG234" s="234"/>
      <c r="BH234" s="234"/>
      <c r="BI234" s="234"/>
      <c r="BJ234" s="234"/>
      <c r="BK234" s="234"/>
      <c r="BL234" s="234"/>
      <c r="BM234" s="234"/>
    </row>
    <row r="235" spans="1:83" ht="20" hidden="1" customHeight="1" outlineLevel="1" x14ac:dyDescent="0.35">
      <c r="B235" s="13" t="s">
        <v>200</v>
      </c>
      <c r="C235" s="98"/>
      <c r="D235" s="98"/>
      <c r="E235" s="98"/>
      <c r="F235" s="40">
        <f t="shared" ref="F235:AZ235" si="168">F97</f>
        <v>46022</v>
      </c>
      <c r="G235" s="40">
        <f t="shared" si="168"/>
        <v>46112</v>
      </c>
      <c r="H235" s="40">
        <f t="shared" si="168"/>
        <v>46203</v>
      </c>
      <c r="I235" s="40">
        <f t="shared" si="168"/>
        <v>46295</v>
      </c>
      <c r="J235" s="40">
        <f t="shared" si="168"/>
        <v>46387</v>
      </c>
      <c r="K235" s="40">
        <f t="shared" si="168"/>
        <v>46477</v>
      </c>
      <c r="L235" s="40">
        <f t="shared" si="168"/>
        <v>46568</v>
      </c>
      <c r="M235" s="40">
        <f t="shared" si="168"/>
        <v>46660</v>
      </c>
      <c r="N235" s="40">
        <f t="shared" si="168"/>
        <v>46752</v>
      </c>
      <c r="O235" s="40">
        <f t="shared" si="168"/>
        <v>46843</v>
      </c>
      <c r="P235" s="40">
        <f t="shared" si="168"/>
        <v>46934</v>
      </c>
      <c r="Q235" s="40">
        <f t="shared" si="168"/>
        <v>47026</v>
      </c>
      <c r="R235" s="40">
        <f t="shared" si="168"/>
        <v>47118</v>
      </c>
      <c r="S235" s="40">
        <f t="shared" si="168"/>
        <v>47208</v>
      </c>
      <c r="T235" s="40">
        <f t="shared" si="168"/>
        <v>47299</v>
      </c>
      <c r="U235" s="40">
        <f t="shared" si="168"/>
        <v>47391</v>
      </c>
      <c r="V235" s="40">
        <f t="shared" si="168"/>
        <v>47483</v>
      </c>
      <c r="W235" s="40">
        <f t="shared" si="168"/>
        <v>47573</v>
      </c>
      <c r="X235" s="40">
        <f t="shared" si="168"/>
        <v>47664</v>
      </c>
      <c r="Y235" s="40">
        <f t="shared" si="168"/>
        <v>47756</v>
      </c>
      <c r="Z235" s="40">
        <f t="shared" si="168"/>
        <v>47848</v>
      </c>
      <c r="AA235" s="40">
        <f t="shared" si="168"/>
        <v>47938</v>
      </c>
      <c r="AB235" s="40">
        <f t="shared" si="168"/>
        <v>48029</v>
      </c>
      <c r="AC235" s="40">
        <f t="shared" si="168"/>
        <v>48121</v>
      </c>
      <c r="AD235" s="40">
        <f t="shared" si="168"/>
        <v>48213</v>
      </c>
      <c r="AE235" s="40">
        <f t="shared" si="168"/>
        <v>48304</v>
      </c>
      <c r="AF235" s="40">
        <f t="shared" si="168"/>
        <v>48395</v>
      </c>
      <c r="AG235" s="40">
        <f t="shared" si="168"/>
        <v>48487</v>
      </c>
      <c r="AH235" s="40">
        <f t="shared" si="168"/>
        <v>48579</v>
      </c>
      <c r="AI235" s="40">
        <f t="shared" si="168"/>
        <v>48669</v>
      </c>
      <c r="AJ235" s="40">
        <f t="shared" si="168"/>
        <v>48760</v>
      </c>
      <c r="AK235" s="40">
        <f t="shared" si="168"/>
        <v>48852</v>
      </c>
      <c r="AL235" s="40">
        <f t="shared" si="168"/>
        <v>48944</v>
      </c>
      <c r="AM235" s="40">
        <f t="shared" si="168"/>
        <v>49034</v>
      </c>
      <c r="AN235" s="40">
        <f t="shared" si="168"/>
        <v>49125</v>
      </c>
      <c r="AO235" s="40">
        <f t="shared" si="168"/>
        <v>49217</v>
      </c>
      <c r="AP235" s="40">
        <f t="shared" si="168"/>
        <v>49309</v>
      </c>
      <c r="AQ235" s="40">
        <f t="shared" si="168"/>
        <v>49399</v>
      </c>
      <c r="AR235" s="40">
        <f t="shared" si="168"/>
        <v>49490</v>
      </c>
      <c r="AS235" s="40">
        <f t="shared" si="168"/>
        <v>49582</v>
      </c>
      <c r="AT235" s="40">
        <f t="shared" si="168"/>
        <v>49674</v>
      </c>
      <c r="AU235" s="40">
        <f t="shared" si="168"/>
        <v>49765</v>
      </c>
      <c r="AV235" s="40">
        <f t="shared" si="168"/>
        <v>49856</v>
      </c>
      <c r="AW235" s="40">
        <f t="shared" si="168"/>
        <v>49948</v>
      </c>
      <c r="AX235" s="40">
        <f t="shared" si="168"/>
        <v>50040</v>
      </c>
      <c r="AY235" s="40">
        <f t="shared" si="168"/>
        <v>50130</v>
      </c>
      <c r="AZ235" s="40">
        <f t="shared" si="168"/>
        <v>50221</v>
      </c>
    </row>
    <row r="236" spans="1:83" ht="20" hidden="1" customHeight="1" outlineLevel="1" x14ac:dyDescent="0.35"/>
    <row r="237" spans="1:83" ht="20" hidden="1" customHeight="1" outlineLevel="1" x14ac:dyDescent="0.35">
      <c r="B237" s="11" t="s">
        <v>95</v>
      </c>
      <c r="F237" s="147">
        <f>-C82</f>
        <v>-10000</v>
      </c>
      <c r="G237" s="115">
        <f>G218</f>
        <v>10500</v>
      </c>
      <c r="H237" s="115">
        <f t="shared" ref="H237:AZ237" si="169">H218</f>
        <v>11250</v>
      </c>
      <c r="I237" s="115">
        <f t="shared" si="169"/>
        <v>11750</v>
      </c>
      <c r="J237" s="115">
        <f t="shared" si="169"/>
        <v>11750</v>
      </c>
      <c r="K237" s="115">
        <f t="shared" si="169"/>
        <v>11966.425645587717</v>
      </c>
      <c r="L237" s="115">
        <f t="shared" si="169"/>
        <v>12227.870189884332</v>
      </c>
      <c r="M237" s="115">
        <f t="shared" si="169"/>
        <v>12529.684014650149</v>
      </c>
      <c r="N237" s="115">
        <f t="shared" si="169"/>
        <v>12830.792853229681</v>
      </c>
      <c r="O237" s="115">
        <f t="shared" si="169"/>
        <v>13123.732061243225</v>
      </c>
      <c r="P237" s="115">
        <f t="shared" si="169"/>
        <v>13422.574887781657</v>
      </c>
      <c r="Q237" s="115">
        <f t="shared" si="169"/>
        <v>13761.822647013158</v>
      </c>
      <c r="R237" s="115">
        <f t="shared" si="169"/>
        <v>14100.293645616686</v>
      </c>
      <c r="S237" s="115">
        <f t="shared" si="169"/>
        <v>14429.787850683815</v>
      </c>
      <c r="T237" s="115">
        <f t="shared" si="169"/>
        <v>14765.824944805163</v>
      </c>
      <c r="U237" s="115">
        <f t="shared" si="169"/>
        <v>15157.806157170247</v>
      </c>
      <c r="V237" s="115">
        <f t="shared" si="169"/>
        <v>15548.931625125941</v>
      </c>
      <c r="W237" s="115">
        <f t="shared" si="169"/>
        <v>15930.192812408226</v>
      </c>
      <c r="X237" s="115">
        <f t="shared" si="169"/>
        <v>16318.701309043912</v>
      </c>
      <c r="Y237" s="115">
        <f t="shared" si="169"/>
        <v>16744.246995336114</v>
      </c>
      <c r="Z237" s="115">
        <f t="shared" si="169"/>
        <v>17168.850022366376</v>
      </c>
      <c r="AA237" s="115">
        <f t="shared" si="169"/>
        <v>17582.612942162676</v>
      </c>
      <c r="AB237" s="115">
        <f t="shared" si="169"/>
        <v>18004.399286926313</v>
      </c>
      <c r="AC237" s="115">
        <f t="shared" si="169"/>
        <v>18489.925166390232</v>
      </c>
      <c r="AD237" s="115">
        <f t="shared" si="169"/>
        <v>18974.412746744132</v>
      </c>
      <c r="AE237" s="115">
        <f t="shared" si="169"/>
        <v>19446.987237894064</v>
      </c>
      <c r="AF237" s="115">
        <f t="shared" si="169"/>
        <v>19928.440165803629</v>
      </c>
      <c r="AG237" s="115">
        <f t="shared" si="169"/>
        <v>20443.279183263756</v>
      </c>
      <c r="AH237" s="115">
        <f t="shared" si="169"/>
        <v>20955.603335475178</v>
      </c>
      <c r="AI237" s="115">
        <f t="shared" si="169"/>
        <v>21456.673559351144</v>
      </c>
      <c r="AJ237" s="115">
        <f t="shared" si="169"/>
        <v>21966.16115448159</v>
      </c>
      <c r="AK237" s="115">
        <f t="shared" si="169"/>
        <v>22549.718305373866</v>
      </c>
      <c r="AL237" s="115">
        <f t="shared" si="169"/>
        <v>23132.196026697507</v>
      </c>
      <c r="AM237" s="115">
        <f t="shared" si="169"/>
        <v>23702.307018260311</v>
      </c>
      <c r="AN237" s="115">
        <f t="shared" si="169"/>
        <v>24281.724548784747</v>
      </c>
      <c r="AO237" s="115">
        <f t="shared" si="169"/>
        <v>24918.61732244982</v>
      </c>
      <c r="AP237" s="115">
        <f t="shared" si="169"/>
        <v>25554.321455392037</v>
      </c>
      <c r="AQ237" s="115">
        <f t="shared" si="169"/>
        <v>26176.435252742522</v>
      </c>
      <c r="AR237" s="115">
        <f t="shared" si="169"/>
        <v>26808.834859297043</v>
      </c>
      <c r="AS237" s="115">
        <f t="shared" si="169"/>
        <v>27522.955933403962</v>
      </c>
      <c r="AT237" s="115">
        <f t="shared" si="169"/>
        <v>28235.768202813433</v>
      </c>
      <c r="AU237" s="115">
        <f t="shared" si="169"/>
        <v>28933.644665895237</v>
      </c>
      <c r="AV237" s="115">
        <f t="shared" si="169"/>
        <v>29648.769873697758</v>
      </c>
      <c r="AW237" s="115">
        <f t="shared" si="169"/>
        <v>30381.570146938455</v>
      </c>
      <c r="AX237" s="115">
        <f t="shared" si="169"/>
        <v>31132.482343296</v>
      </c>
      <c r="AY237" s="115">
        <f t="shared" si="169"/>
        <v>31901.954117842277</v>
      </c>
      <c r="AZ237" s="115">
        <f t="shared" si="169"/>
        <v>32690.444189911203</v>
      </c>
    </row>
    <row r="238" spans="1:83" ht="20" hidden="1" customHeight="1" outlineLevel="1" x14ac:dyDescent="0.35">
      <c r="B238" s="11" t="s">
        <v>28</v>
      </c>
      <c r="F238" s="71"/>
      <c r="G238" s="100">
        <f>G219</f>
        <v>0</v>
      </c>
      <c r="H238" s="100">
        <f t="shared" ref="H238:AZ238" si="170">H219</f>
        <v>0</v>
      </c>
      <c r="I238" s="100">
        <f t="shared" si="170"/>
        <v>200</v>
      </c>
      <c r="J238" s="100">
        <f t="shared" si="170"/>
        <v>200</v>
      </c>
      <c r="K238" s="100">
        <f>K219</f>
        <v>200</v>
      </c>
      <c r="L238" s="100">
        <f>L219</f>
        <v>200</v>
      </c>
      <c r="M238" s="100">
        <f t="shared" si="170"/>
        <v>210</v>
      </c>
      <c r="N238" s="100">
        <f t="shared" si="170"/>
        <v>210</v>
      </c>
      <c r="O238" s="100">
        <f t="shared" si="170"/>
        <v>210</v>
      </c>
      <c r="P238" s="100">
        <f t="shared" si="170"/>
        <v>210</v>
      </c>
      <c r="Q238" s="100">
        <f t="shared" si="170"/>
        <v>225</v>
      </c>
      <c r="R238" s="100">
        <f t="shared" si="170"/>
        <v>225</v>
      </c>
      <c r="S238" s="100">
        <f t="shared" si="170"/>
        <v>225</v>
      </c>
      <c r="T238" s="100">
        <f t="shared" si="170"/>
        <v>225</v>
      </c>
      <c r="U238" s="100">
        <f t="shared" si="170"/>
        <v>230</v>
      </c>
      <c r="V238" s="100">
        <f t="shared" si="170"/>
        <v>230</v>
      </c>
      <c r="W238" s="100">
        <f t="shared" si="170"/>
        <v>230</v>
      </c>
      <c r="X238" s="100">
        <f t="shared" si="170"/>
        <v>230</v>
      </c>
      <c r="Y238" s="100">
        <f t="shared" si="170"/>
        <v>260</v>
      </c>
      <c r="Z238" s="100">
        <f t="shared" si="170"/>
        <v>260</v>
      </c>
      <c r="AA238" s="100">
        <f t="shared" si="170"/>
        <v>260</v>
      </c>
      <c r="AB238" s="100">
        <f t="shared" si="170"/>
        <v>260</v>
      </c>
      <c r="AC238" s="100">
        <f t="shared" si="170"/>
        <v>270</v>
      </c>
      <c r="AD238" s="100">
        <f t="shared" si="170"/>
        <v>270</v>
      </c>
      <c r="AE238" s="100">
        <f t="shared" si="170"/>
        <v>270</v>
      </c>
      <c r="AF238" s="100">
        <f t="shared" si="170"/>
        <v>270</v>
      </c>
      <c r="AG238" s="100">
        <f t="shared" si="170"/>
        <v>285</v>
      </c>
      <c r="AH238" s="100">
        <f t="shared" si="170"/>
        <v>285</v>
      </c>
      <c r="AI238" s="100">
        <f t="shared" si="170"/>
        <v>285</v>
      </c>
      <c r="AJ238" s="100">
        <f t="shared" si="170"/>
        <v>285</v>
      </c>
      <c r="AK238" s="100">
        <f t="shared" si="170"/>
        <v>295</v>
      </c>
      <c r="AL238" s="100">
        <f t="shared" si="170"/>
        <v>295</v>
      </c>
      <c r="AM238" s="100">
        <f t="shared" si="170"/>
        <v>295</v>
      </c>
      <c r="AN238" s="100">
        <f t="shared" si="170"/>
        <v>295</v>
      </c>
      <c r="AO238" s="100">
        <f t="shared" si="170"/>
        <v>330</v>
      </c>
      <c r="AP238" s="100">
        <f t="shared" si="170"/>
        <v>330</v>
      </c>
      <c r="AQ238" s="100">
        <f t="shared" si="170"/>
        <v>330</v>
      </c>
      <c r="AR238" s="100">
        <f t="shared" si="170"/>
        <v>330</v>
      </c>
      <c r="AS238" s="100">
        <f t="shared" si="170"/>
        <v>350</v>
      </c>
      <c r="AT238" s="100">
        <f t="shared" si="170"/>
        <v>350</v>
      </c>
      <c r="AU238" s="115">
        <f t="shared" si="170"/>
        <v>350</v>
      </c>
      <c r="AV238" s="115">
        <f t="shared" si="170"/>
        <v>350</v>
      </c>
      <c r="AW238" s="115">
        <f t="shared" si="170"/>
        <v>400</v>
      </c>
      <c r="AX238" s="115">
        <f t="shared" si="170"/>
        <v>400</v>
      </c>
      <c r="AY238" s="115">
        <f t="shared" si="170"/>
        <v>400</v>
      </c>
      <c r="AZ238" s="115">
        <f t="shared" si="170"/>
        <v>400</v>
      </c>
    </row>
    <row r="239" spans="1:83" ht="20" hidden="1" customHeight="1" outlineLevel="1" x14ac:dyDescent="0.35">
      <c r="B239" s="11" t="s">
        <v>96</v>
      </c>
      <c r="F239" s="71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>
        <f>AT218</f>
        <v>28235.768202813433</v>
      </c>
      <c r="AU239" s="100"/>
      <c r="AV239" s="100"/>
      <c r="AW239" s="100"/>
      <c r="AX239" s="100"/>
      <c r="AY239" s="100"/>
      <c r="AZ239" s="100"/>
    </row>
    <row r="240" spans="1:83" ht="20" hidden="1" customHeight="1" outlineLevel="1" x14ac:dyDescent="0.35">
      <c r="B240" s="101" t="s">
        <v>97</v>
      </c>
      <c r="C240" s="101"/>
      <c r="D240" s="101"/>
      <c r="E240" s="101"/>
      <c r="F240" s="102">
        <f t="shared" ref="F240" si="171">SUM(F237:F239)</f>
        <v>-10000</v>
      </c>
      <c r="G240" s="102">
        <f>SUM(G238:G239)</f>
        <v>0</v>
      </c>
      <c r="H240" s="102">
        <f t="shared" ref="H240:AS240" si="172">SUM(H238:H239)</f>
        <v>0</v>
      </c>
      <c r="I240" s="102">
        <f t="shared" si="172"/>
        <v>200</v>
      </c>
      <c r="J240" s="102">
        <f t="shared" si="172"/>
        <v>200</v>
      </c>
      <c r="K240" s="102">
        <f>SUM(K238:K239)</f>
        <v>200</v>
      </c>
      <c r="L240" s="102">
        <f t="shared" si="172"/>
        <v>200</v>
      </c>
      <c r="M240" s="102">
        <f t="shared" si="172"/>
        <v>210</v>
      </c>
      <c r="N240" s="102">
        <f t="shared" si="172"/>
        <v>210</v>
      </c>
      <c r="O240" s="102">
        <f t="shared" si="172"/>
        <v>210</v>
      </c>
      <c r="P240" s="102">
        <f t="shared" si="172"/>
        <v>210</v>
      </c>
      <c r="Q240" s="102">
        <f t="shared" si="172"/>
        <v>225</v>
      </c>
      <c r="R240" s="102">
        <f t="shared" si="172"/>
        <v>225</v>
      </c>
      <c r="S240" s="102">
        <f t="shared" si="172"/>
        <v>225</v>
      </c>
      <c r="T240" s="102">
        <f t="shared" si="172"/>
        <v>225</v>
      </c>
      <c r="U240" s="102">
        <f t="shared" si="172"/>
        <v>230</v>
      </c>
      <c r="V240" s="102">
        <f t="shared" si="172"/>
        <v>230</v>
      </c>
      <c r="W240" s="102">
        <f t="shared" si="172"/>
        <v>230</v>
      </c>
      <c r="X240" s="102">
        <f t="shared" si="172"/>
        <v>230</v>
      </c>
      <c r="Y240" s="102">
        <f t="shared" si="172"/>
        <v>260</v>
      </c>
      <c r="Z240" s="102">
        <f t="shared" si="172"/>
        <v>260</v>
      </c>
      <c r="AA240" s="102">
        <f t="shared" si="172"/>
        <v>260</v>
      </c>
      <c r="AB240" s="102">
        <f t="shared" si="172"/>
        <v>260</v>
      </c>
      <c r="AC240" s="102">
        <f t="shared" si="172"/>
        <v>270</v>
      </c>
      <c r="AD240" s="102">
        <f t="shared" si="172"/>
        <v>270</v>
      </c>
      <c r="AE240" s="102">
        <f t="shared" si="172"/>
        <v>270</v>
      </c>
      <c r="AF240" s="102">
        <f t="shared" si="172"/>
        <v>270</v>
      </c>
      <c r="AG240" s="102">
        <f t="shared" si="172"/>
        <v>285</v>
      </c>
      <c r="AH240" s="102">
        <f t="shared" si="172"/>
        <v>285</v>
      </c>
      <c r="AI240" s="102">
        <f t="shared" si="172"/>
        <v>285</v>
      </c>
      <c r="AJ240" s="102">
        <f t="shared" si="172"/>
        <v>285</v>
      </c>
      <c r="AK240" s="102">
        <f t="shared" si="172"/>
        <v>295</v>
      </c>
      <c r="AL240" s="102">
        <f t="shared" si="172"/>
        <v>295</v>
      </c>
      <c r="AM240" s="102">
        <f t="shared" si="172"/>
        <v>295</v>
      </c>
      <c r="AN240" s="102">
        <f t="shared" si="172"/>
        <v>295</v>
      </c>
      <c r="AO240" s="102">
        <f t="shared" si="172"/>
        <v>330</v>
      </c>
      <c r="AP240" s="102">
        <f t="shared" si="172"/>
        <v>330</v>
      </c>
      <c r="AQ240" s="102">
        <f t="shared" si="172"/>
        <v>330</v>
      </c>
      <c r="AR240" s="102">
        <f t="shared" si="172"/>
        <v>330</v>
      </c>
      <c r="AS240" s="102">
        <f t="shared" si="172"/>
        <v>350</v>
      </c>
      <c r="AT240" s="102">
        <f>SUM(AT238:AT239)</f>
        <v>28585.768202813433</v>
      </c>
      <c r="AU240" s="102"/>
      <c r="AV240" s="102"/>
      <c r="AW240" s="102"/>
      <c r="AX240" s="102"/>
      <c r="AY240" s="102"/>
      <c r="AZ240" s="102"/>
      <c r="BA240" s="52"/>
      <c r="BB240" s="52"/>
      <c r="BC240" s="234"/>
      <c r="BD240" s="234"/>
      <c r="BE240" s="234"/>
      <c r="BF240" s="234"/>
      <c r="BG240" s="234"/>
      <c r="BH240" s="234"/>
      <c r="BI240" s="234"/>
      <c r="BJ240" s="234"/>
      <c r="BK240" s="234"/>
      <c r="BL240" s="234"/>
      <c r="BM240" s="234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</row>
    <row r="241" spans="2:83" ht="20" hidden="1" customHeight="1" outlineLevel="1" x14ac:dyDescent="0.35"/>
    <row r="242" spans="2:83" ht="20" hidden="1" customHeight="1" outlineLevel="1" x14ac:dyDescent="0.35">
      <c r="B242" s="103" t="s">
        <v>98</v>
      </c>
      <c r="C242" s="104">
        <f>XIRR(F240:AT240,$F$235:$AT$235)</f>
        <v>0.17331592440605165</v>
      </c>
    </row>
    <row r="243" spans="2:83" ht="20" hidden="1" customHeight="1" outlineLevel="1" x14ac:dyDescent="0.35">
      <c r="B243" s="103" t="s">
        <v>99</v>
      </c>
      <c r="C243" s="104">
        <f>AVERAGE(I238:AT238)*4/-F237</f>
        <v>0.10442105263157894</v>
      </c>
      <c r="H243" s="48"/>
    </row>
    <row r="244" spans="2:83" ht="20" hidden="1" customHeight="1" outlineLevel="1" x14ac:dyDescent="0.35">
      <c r="B244" s="103" t="s">
        <v>191</v>
      </c>
      <c r="C244" s="104">
        <f>SUM(I238:L238)/-F237</f>
        <v>0.08</v>
      </c>
      <c r="BA244" s="10"/>
      <c r="BB244" s="10"/>
      <c r="BC244" s="258"/>
      <c r="BD244" s="258"/>
      <c r="BE244" s="258"/>
      <c r="BF244" s="258"/>
      <c r="BG244" s="258"/>
      <c r="BH244" s="258"/>
      <c r="BI244" s="258"/>
      <c r="BJ244" s="258"/>
      <c r="BK244" s="258"/>
      <c r="BL244" s="258"/>
      <c r="BM244" s="258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</row>
    <row r="245" spans="2:83" ht="20" hidden="1" customHeight="1" outlineLevel="1" x14ac:dyDescent="0.35"/>
    <row r="246" spans="2:83" ht="20" hidden="1" customHeight="1" outlineLevel="1" x14ac:dyDescent="0.35"/>
    <row r="247" spans="2:83" ht="20" hidden="1" customHeight="1" outlineLevel="1" x14ac:dyDescent="0.35">
      <c r="B247" s="13" t="s">
        <v>201</v>
      </c>
      <c r="C247" s="98"/>
      <c r="D247" s="98"/>
      <c r="E247" s="98"/>
      <c r="F247" s="40"/>
      <c r="G247" s="40">
        <f t="shared" ref="G247:AU247" si="173">G97</f>
        <v>46112</v>
      </c>
      <c r="H247" s="40">
        <f t="shared" si="173"/>
        <v>46203</v>
      </c>
      <c r="I247" s="40">
        <f t="shared" si="173"/>
        <v>46295</v>
      </c>
      <c r="J247" s="40">
        <f t="shared" si="173"/>
        <v>46387</v>
      </c>
      <c r="K247" s="40">
        <f t="shared" si="173"/>
        <v>46477</v>
      </c>
      <c r="L247" s="40">
        <f t="shared" si="173"/>
        <v>46568</v>
      </c>
      <c r="M247" s="40">
        <f t="shared" si="173"/>
        <v>46660</v>
      </c>
      <c r="N247" s="40">
        <f t="shared" si="173"/>
        <v>46752</v>
      </c>
      <c r="O247" s="40">
        <f t="shared" si="173"/>
        <v>46843</v>
      </c>
      <c r="P247" s="40">
        <f t="shared" si="173"/>
        <v>46934</v>
      </c>
      <c r="Q247" s="40">
        <f t="shared" si="173"/>
        <v>47026</v>
      </c>
      <c r="R247" s="40">
        <f t="shared" si="173"/>
        <v>47118</v>
      </c>
      <c r="S247" s="40">
        <f t="shared" si="173"/>
        <v>47208</v>
      </c>
      <c r="T247" s="40">
        <f t="shared" si="173"/>
        <v>47299</v>
      </c>
      <c r="U247" s="40">
        <f t="shared" si="173"/>
        <v>47391</v>
      </c>
      <c r="V247" s="40">
        <f t="shared" si="173"/>
        <v>47483</v>
      </c>
      <c r="W247" s="40">
        <f t="shared" si="173"/>
        <v>47573</v>
      </c>
      <c r="X247" s="40">
        <f t="shared" si="173"/>
        <v>47664</v>
      </c>
      <c r="Y247" s="40">
        <f t="shared" si="173"/>
        <v>47756</v>
      </c>
      <c r="Z247" s="40">
        <f t="shared" si="173"/>
        <v>47848</v>
      </c>
      <c r="AA247" s="40">
        <f t="shared" si="173"/>
        <v>47938</v>
      </c>
      <c r="AB247" s="40">
        <f t="shared" si="173"/>
        <v>48029</v>
      </c>
      <c r="AC247" s="40">
        <f t="shared" si="173"/>
        <v>48121</v>
      </c>
      <c r="AD247" s="40">
        <f t="shared" si="173"/>
        <v>48213</v>
      </c>
      <c r="AE247" s="40">
        <f t="shared" si="173"/>
        <v>48304</v>
      </c>
      <c r="AF247" s="40">
        <f t="shared" si="173"/>
        <v>48395</v>
      </c>
      <c r="AG247" s="40">
        <f t="shared" si="173"/>
        <v>48487</v>
      </c>
      <c r="AH247" s="40">
        <f t="shared" si="173"/>
        <v>48579</v>
      </c>
      <c r="AI247" s="40">
        <f t="shared" si="173"/>
        <v>48669</v>
      </c>
      <c r="AJ247" s="40">
        <f t="shared" si="173"/>
        <v>48760</v>
      </c>
      <c r="AK247" s="40">
        <f t="shared" si="173"/>
        <v>48852</v>
      </c>
      <c r="AL247" s="40">
        <f t="shared" si="173"/>
        <v>48944</v>
      </c>
      <c r="AM247" s="40">
        <f t="shared" si="173"/>
        <v>49034</v>
      </c>
      <c r="AN247" s="40">
        <f t="shared" si="173"/>
        <v>49125</v>
      </c>
      <c r="AO247" s="40">
        <f t="shared" si="173"/>
        <v>49217</v>
      </c>
      <c r="AP247" s="40">
        <f t="shared" si="173"/>
        <v>49309</v>
      </c>
      <c r="AQ247" s="40">
        <f t="shared" si="173"/>
        <v>49399</v>
      </c>
      <c r="AR247" s="40">
        <f t="shared" si="173"/>
        <v>49490</v>
      </c>
      <c r="AS247" s="40">
        <f t="shared" si="173"/>
        <v>49582</v>
      </c>
      <c r="AT247" s="40">
        <f t="shared" si="173"/>
        <v>49674</v>
      </c>
      <c r="AU247" s="40">
        <f t="shared" si="173"/>
        <v>49765</v>
      </c>
      <c r="AV247" s="40"/>
      <c r="AW247" s="40"/>
      <c r="AX247" s="40"/>
      <c r="AY247" s="40"/>
      <c r="AZ247" s="40"/>
    </row>
    <row r="248" spans="2:83" ht="20" hidden="1" customHeight="1" outlineLevel="1" x14ac:dyDescent="0.35"/>
    <row r="249" spans="2:83" ht="20" hidden="1" customHeight="1" outlineLevel="1" x14ac:dyDescent="0.35">
      <c r="B249" s="11" t="s">
        <v>95</v>
      </c>
      <c r="F249" s="147"/>
      <c r="G249" s="147">
        <f>-C83</f>
        <v>-10500</v>
      </c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</row>
    <row r="250" spans="2:83" ht="20" hidden="1" customHeight="1" outlineLevel="1" x14ac:dyDescent="0.35">
      <c r="B250" s="11" t="s">
        <v>28</v>
      </c>
      <c r="F250" s="71"/>
      <c r="G250" s="100"/>
      <c r="H250" s="100">
        <f>H219</f>
        <v>0</v>
      </c>
      <c r="I250" s="100">
        <f t="shared" ref="I250:AU250" si="174">I219</f>
        <v>200</v>
      </c>
      <c r="J250" s="100">
        <f t="shared" si="174"/>
        <v>200</v>
      </c>
      <c r="K250" s="100">
        <f t="shared" si="174"/>
        <v>200</v>
      </c>
      <c r="L250" s="100">
        <f t="shared" si="174"/>
        <v>200</v>
      </c>
      <c r="M250" s="100">
        <f t="shared" si="174"/>
        <v>210</v>
      </c>
      <c r="N250" s="100">
        <f t="shared" si="174"/>
        <v>210</v>
      </c>
      <c r="O250" s="100">
        <f t="shared" si="174"/>
        <v>210</v>
      </c>
      <c r="P250" s="100">
        <f t="shared" si="174"/>
        <v>210</v>
      </c>
      <c r="Q250" s="100">
        <f t="shared" si="174"/>
        <v>225</v>
      </c>
      <c r="R250" s="100">
        <f t="shared" si="174"/>
        <v>225</v>
      </c>
      <c r="S250" s="100">
        <f t="shared" si="174"/>
        <v>225</v>
      </c>
      <c r="T250" s="100">
        <f t="shared" si="174"/>
        <v>225</v>
      </c>
      <c r="U250" s="100">
        <f t="shared" si="174"/>
        <v>230</v>
      </c>
      <c r="V250" s="100">
        <f t="shared" si="174"/>
        <v>230</v>
      </c>
      <c r="W250" s="100">
        <f t="shared" si="174"/>
        <v>230</v>
      </c>
      <c r="X250" s="100">
        <f t="shared" si="174"/>
        <v>230</v>
      </c>
      <c r="Y250" s="100">
        <f t="shared" si="174"/>
        <v>260</v>
      </c>
      <c r="Z250" s="100">
        <f t="shared" si="174"/>
        <v>260</v>
      </c>
      <c r="AA250" s="100">
        <f t="shared" si="174"/>
        <v>260</v>
      </c>
      <c r="AB250" s="100">
        <f t="shared" si="174"/>
        <v>260</v>
      </c>
      <c r="AC250" s="100">
        <f t="shared" si="174"/>
        <v>270</v>
      </c>
      <c r="AD250" s="100">
        <f t="shared" si="174"/>
        <v>270</v>
      </c>
      <c r="AE250" s="100">
        <f t="shared" si="174"/>
        <v>270</v>
      </c>
      <c r="AF250" s="100">
        <f t="shared" si="174"/>
        <v>270</v>
      </c>
      <c r="AG250" s="100">
        <f t="shared" si="174"/>
        <v>285</v>
      </c>
      <c r="AH250" s="100">
        <f t="shared" si="174"/>
        <v>285</v>
      </c>
      <c r="AI250" s="100">
        <f t="shared" si="174"/>
        <v>285</v>
      </c>
      <c r="AJ250" s="100">
        <f t="shared" si="174"/>
        <v>285</v>
      </c>
      <c r="AK250" s="100">
        <f t="shared" si="174"/>
        <v>295</v>
      </c>
      <c r="AL250" s="100">
        <f t="shared" si="174"/>
        <v>295</v>
      </c>
      <c r="AM250" s="100">
        <f t="shared" si="174"/>
        <v>295</v>
      </c>
      <c r="AN250" s="100">
        <f t="shared" si="174"/>
        <v>295</v>
      </c>
      <c r="AO250" s="100">
        <f t="shared" si="174"/>
        <v>330</v>
      </c>
      <c r="AP250" s="100">
        <f t="shared" si="174"/>
        <v>330</v>
      </c>
      <c r="AQ250" s="100">
        <f t="shared" si="174"/>
        <v>330</v>
      </c>
      <c r="AR250" s="100">
        <f t="shared" si="174"/>
        <v>330</v>
      </c>
      <c r="AS250" s="100">
        <f t="shared" si="174"/>
        <v>350</v>
      </c>
      <c r="AT250" s="100">
        <f t="shared" si="174"/>
        <v>350</v>
      </c>
      <c r="AU250" s="100">
        <f t="shared" si="174"/>
        <v>350</v>
      </c>
      <c r="AV250" s="100"/>
      <c r="AW250" s="100"/>
      <c r="AX250" s="100"/>
      <c r="AY250" s="100"/>
      <c r="AZ250" s="100"/>
    </row>
    <row r="251" spans="2:83" ht="20" hidden="1" customHeight="1" outlineLevel="1" x14ac:dyDescent="0.35">
      <c r="B251" s="11" t="s">
        <v>96</v>
      </c>
      <c r="F251" s="71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>
        <f>AU218</f>
        <v>28933.644665895237</v>
      </c>
      <c r="AV251" s="100"/>
      <c r="AW251" s="100"/>
      <c r="AX251" s="100"/>
      <c r="AY251" s="100"/>
      <c r="AZ251" s="100"/>
    </row>
    <row r="252" spans="2:83" ht="20" hidden="1" customHeight="1" outlineLevel="1" x14ac:dyDescent="0.35">
      <c r="B252" s="101" t="s">
        <v>97</v>
      </c>
      <c r="C252" s="101"/>
      <c r="D252" s="101"/>
      <c r="E252" s="101"/>
      <c r="F252" s="102"/>
      <c r="G252" s="102">
        <f>SUM(G249:G250)</f>
        <v>-10500</v>
      </c>
      <c r="H252" s="102">
        <f>SUM(H250:H251)</f>
        <v>0</v>
      </c>
      <c r="I252" s="102">
        <f t="shared" ref="I252:AU252" si="175">SUM(I250:I251)</f>
        <v>200</v>
      </c>
      <c r="J252" s="102">
        <f t="shared" si="175"/>
        <v>200</v>
      </c>
      <c r="K252" s="102">
        <f t="shared" si="175"/>
        <v>200</v>
      </c>
      <c r="L252" s="102">
        <f t="shared" si="175"/>
        <v>200</v>
      </c>
      <c r="M252" s="102">
        <f t="shared" si="175"/>
        <v>210</v>
      </c>
      <c r="N252" s="102">
        <f t="shared" si="175"/>
        <v>210</v>
      </c>
      <c r="O252" s="102">
        <f t="shared" si="175"/>
        <v>210</v>
      </c>
      <c r="P252" s="102">
        <f t="shared" si="175"/>
        <v>210</v>
      </c>
      <c r="Q252" s="102">
        <f t="shared" si="175"/>
        <v>225</v>
      </c>
      <c r="R252" s="102">
        <f t="shared" si="175"/>
        <v>225</v>
      </c>
      <c r="S252" s="102">
        <f t="shared" si="175"/>
        <v>225</v>
      </c>
      <c r="T252" s="102">
        <f t="shared" si="175"/>
        <v>225</v>
      </c>
      <c r="U252" s="102">
        <f t="shared" si="175"/>
        <v>230</v>
      </c>
      <c r="V252" s="102">
        <f t="shared" si="175"/>
        <v>230</v>
      </c>
      <c r="W252" s="102">
        <f t="shared" si="175"/>
        <v>230</v>
      </c>
      <c r="X252" s="102">
        <f t="shared" si="175"/>
        <v>230</v>
      </c>
      <c r="Y252" s="102">
        <f t="shared" si="175"/>
        <v>260</v>
      </c>
      <c r="Z252" s="102">
        <f t="shared" si="175"/>
        <v>260</v>
      </c>
      <c r="AA252" s="102">
        <f t="shared" si="175"/>
        <v>260</v>
      </c>
      <c r="AB252" s="102">
        <f t="shared" si="175"/>
        <v>260</v>
      </c>
      <c r="AC252" s="102">
        <f t="shared" si="175"/>
        <v>270</v>
      </c>
      <c r="AD252" s="102">
        <f t="shared" si="175"/>
        <v>270</v>
      </c>
      <c r="AE252" s="102">
        <f t="shared" si="175"/>
        <v>270</v>
      </c>
      <c r="AF252" s="102">
        <f t="shared" si="175"/>
        <v>270</v>
      </c>
      <c r="AG252" s="102">
        <f t="shared" si="175"/>
        <v>285</v>
      </c>
      <c r="AH252" s="102">
        <f t="shared" si="175"/>
        <v>285</v>
      </c>
      <c r="AI252" s="102">
        <f t="shared" si="175"/>
        <v>285</v>
      </c>
      <c r="AJ252" s="102">
        <f t="shared" si="175"/>
        <v>285</v>
      </c>
      <c r="AK252" s="102">
        <f t="shared" si="175"/>
        <v>295</v>
      </c>
      <c r="AL252" s="102">
        <f t="shared" si="175"/>
        <v>295</v>
      </c>
      <c r="AM252" s="102">
        <f t="shared" si="175"/>
        <v>295</v>
      </c>
      <c r="AN252" s="102">
        <f t="shared" si="175"/>
        <v>295</v>
      </c>
      <c r="AO252" s="102">
        <f t="shared" si="175"/>
        <v>330</v>
      </c>
      <c r="AP252" s="102">
        <f t="shared" si="175"/>
        <v>330</v>
      </c>
      <c r="AQ252" s="102">
        <f t="shared" si="175"/>
        <v>330</v>
      </c>
      <c r="AR252" s="102">
        <f t="shared" si="175"/>
        <v>330</v>
      </c>
      <c r="AS252" s="102">
        <f t="shared" si="175"/>
        <v>350</v>
      </c>
      <c r="AT252" s="102">
        <f t="shared" si="175"/>
        <v>350</v>
      </c>
      <c r="AU252" s="102">
        <f t="shared" si="175"/>
        <v>29283.644665895237</v>
      </c>
      <c r="AV252" s="102"/>
      <c r="AW252" s="102"/>
      <c r="AX252" s="102"/>
      <c r="AY252" s="102"/>
      <c r="AZ252" s="102"/>
    </row>
    <row r="253" spans="2:83" ht="20" hidden="1" customHeight="1" outlineLevel="1" x14ac:dyDescent="0.35"/>
    <row r="254" spans="2:83" ht="20" hidden="1" customHeight="1" outlineLevel="1" x14ac:dyDescent="0.35">
      <c r="B254" s="103" t="s">
        <v>98</v>
      </c>
      <c r="C254" s="104">
        <f>XIRR(G252:AU252,G247:AU247)</f>
        <v>0.17156938910484312</v>
      </c>
    </row>
    <row r="255" spans="2:83" ht="20" hidden="1" customHeight="1" outlineLevel="1" x14ac:dyDescent="0.35">
      <c r="B255" s="103" t="s">
        <v>99</v>
      </c>
      <c r="C255" s="104">
        <f>AVERAGE(I250:AU250)*4/-G249</f>
        <v>0.10031746031746031</v>
      </c>
      <c r="H255" s="48"/>
    </row>
    <row r="256" spans="2:83" ht="20" hidden="1" customHeight="1" outlineLevel="1" x14ac:dyDescent="0.35">
      <c r="B256" s="103" t="s">
        <v>191</v>
      </c>
      <c r="C256" s="104">
        <f>SUM(I250:L250)/-G249</f>
        <v>7.6190476190476197E-2</v>
      </c>
    </row>
    <row r="257" spans="2:52" ht="20" hidden="1" customHeight="1" outlineLevel="1" x14ac:dyDescent="0.35"/>
    <row r="258" spans="2:52" ht="20" hidden="1" customHeight="1" outlineLevel="1" x14ac:dyDescent="0.35"/>
    <row r="259" spans="2:52" ht="20" hidden="1" customHeight="1" outlineLevel="1" x14ac:dyDescent="0.35">
      <c r="B259" s="13" t="s">
        <v>202</v>
      </c>
      <c r="C259" s="98"/>
      <c r="D259" s="98"/>
      <c r="E259" s="98"/>
      <c r="F259" s="40"/>
      <c r="G259" s="40"/>
      <c r="H259" s="40">
        <f>H97</f>
        <v>46203</v>
      </c>
      <c r="I259" s="40">
        <f t="shared" ref="I259:AV259" si="176">I97</f>
        <v>46295</v>
      </c>
      <c r="J259" s="40">
        <f t="shared" si="176"/>
        <v>46387</v>
      </c>
      <c r="K259" s="40">
        <f t="shared" si="176"/>
        <v>46477</v>
      </c>
      <c r="L259" s="40">
        <f t="shared" si="176"/>
        <v>46568</v>
      </c>
      <c r="M259" s="40">
        <f t="shared" si="176"/>
        <v>46660</v>
      </c>
      <c r="N259" s="40">
        <f t="shared" si="176"/>
        <v>46752</v>
      </c>
      <c r="O259" s="40">
        <f t="shared" si="176"/>
        <v>46843</v>
      </c>
      <c r="P259" s="40">
        <f t="shared" si="176"/>
        <v>46934</v>
      </c>
      <c r="Q259" s="40">
        <f t="shared" si="176"/>
        <v>47026</v>
      </c>
      <c r="R259" s="40">
        <f t="shared" si="176"/>
        <v>47118</v>
      </c>
      <c r="S259" s="40">
        <f t="shared" si="176"/>
        <v>47208</v>
      </c>
      <c r="T259" s="40">
        <f t="shared" si="176"/>
        <v>47299</v>
      </c>
      <c r="U259" s="40">
        <f t="shared" si="176"/>
        <v>47391</v>
      </c>
      <c r="V259" s="40">
        <f t="shared" si="176"/>
        <v>47483</v>
      </c>
      <c r="W259" s="40">
        <f t="shared" si="176"/>
        <v>47573</v>
      </c>
      <c r="X259" s="40">
        <f t="shared" si="176"/>
        <v>47664</v>
      </c>
      <c r="Y259" s="40">
        <f t="shared" si="176"/>
        <v>47756</v>
      </c>
      <c r="Z259" s="40">
        <f t="shared" si="176"/>
        <v>47848</v>
      </c>
      <c r="AA259" s="40">
        <f t="shared" si="176"/>
        <v>47938</v>
      </c>
      <c r="AB259" s="40">
        <f t="shared" si="176"/>
        <v>48029</v>
      </c>
      <c r="AC259" s="40">
        <f t="shared" si="176"/>
        <v>48121</v>
      </c>
      <c r="AD259" s="40">
        <f t="shared" si="176"/>
        <v>48213</v>
      </c>
      <c r="AE259" s="40">
        <f t="shared" si="176"/>
        <v>48304</v>
      </c>
      <c r="AF259" s="40">
        <f t="shared" si="176"/>
        <v>48395</v>
      </c>
      <c r="AG259" s="40">
        <f t="shared" si="176"/>
        <v>48487</v>
      </c>
      <c r="AH259" s="40">
        <f t="shared" si="176"/>
        <v>48579</v>
      </c>
      <c r="AI259" s="40">
        <f t="shared" si="176"/>
        <v>48669</v>
      </c>
      <c r="AJ259" s="40">
        <f t="shared" si="176"/>
        <v>48760</v>
      </c>
      <c r="AK259" s="40">
        <f t="shared" si="176"/>
        <v>48852</v>
      </c>
      <c r="AL259" s="40">
        <f t="shared" si="176"/>
        <v>48944</v>
      </c>
      <c r="AM259" s="40">
        <f t="shared" si="176"/>
        <v>49034</v>
      </c>
      <c r="AN259" s="40">
        <f t="shared" si="176"/>
        <v>49125</v>
      </c>
      <c r="AO259" s="40">
        <f t="shared" si="176"/>
        <v>49217</v>
      </c>
      <c r="AP259" s="40">
        <f t="shared" si="176"/>
        <v>49309</v>
      </c>
      <c r="AQ259" s="40">
        <f t="shared" si="176"/>
        <v>49399</v>
      </c>
      <c r="AR259" s="40">
        <f t="shared" si="176"/>
        <v>49490</v>
      </c>
      <c r="AS259" s="40">
        <f t="shared" si="176"/>
        <v>49582</v>
      </c>
      <c r="AT259" s="40">
        <f t="shared" si="176"/>
        <v>49674</v>
      </c>
      <c r="AU259" s="40">
        <f t="shared" si="176"/>
        <v>49765</v>
      </c>
      <c r="AV259" s="40">
        <f t="shared" si="176"/>
        <v>49856</v>
      </c>
      <c r="AW259" s="40"/>
      <c r="AX259" s="40"/>
      <c r="AY259" s="40"/>
      <c r="AZ259" s="40"/>
    </row>
    <row r="260" spans="2:52" ht="20" hidden="1" customHeight="1" outlineLevel="1" x14ac:dyDescent="0.35"/>
    <row r="261" spans="2:52" ht="20" hidden="1" customHeight="1" outlineLevel="1" x14ac:dyDescent="0.35">
      <c r="B261" s="11" t="s">
        <v>95</v>
      </c>
      <c r="F261" s="147"/>
      <c r="G261" s="115"/>
      <c r="H261" s="147">
        <f>-C84</f>
        <v>-11250</v>
      </c>
      <c r="I261" s="147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</row>
    <row r="262" spans="2:52" ht="20" hidden="1" customHeight="1" outlineLevel="1" x14ac:dyDescent="0.35">
      <c r="B262" s="11" t="s">
        <v>28</v>
      </c>
      <c r="F262" s="71"/>
      <c r="G262" s="100"/>
      <c r="H262" s="100"/>
      <c r="I262" s="100">
        <f>I219</f>
        <v>200</v>
      </c>
      <c r="J262" s="100">
        <f>J219</f>
        <v>200</v>
      </c>
      <c r="K262" s="100">
        <f t="shared" ref="K262:AV262" si="177">K219</f>
        <v>200</v>
      </c>
      <c r="L262" s="100">
        <f t="shared" si="177"/>
        <v>200</v>
      </c>
      <c r="M262" s="100">
        <f t="shared" si="177"/>
        <v>210</v>
      </c>
      <c r="N262" s="100">
        <f t="shared" si="177"/>
        <v>210</v>
      </c>
      <c r="O262" s="100">
        <f t="shared" si="177"/>
        <v>210</v>
      </c>
      <c r="P262" s="100">
        <f t="shared" si="177"/>
        <v>210</v>
      </c>
      <c r="Q262" s="100">
        <f t="shared" si="177"/>
        <v>225</v>
      </c>
      <c r="R262" s="100">
        <f t="shared" si="177"/>
        <v>225</v>
      </c>
      <c r="S262" s="100">
        <f t="shared" si="177"/>
        <v>225</v>
      </c>
      <c r="T262" s="100">
        <f t="shared" si="177"/>
        <v>225</v>
      </c>
      <c r="U262" s="100">
        <f t="shared" si="177"/>
        <v>230</v>
      </c>
      <c r="V262" s="100">
        <f t="shared" si="177"/>
        <v>230</v>
      </c>
      <c r="W262" s="100">
        <f t="shared" si="177"/>
        <v>230</v>
      </c>
      <c r="X262" s="100">
        <f t="shared" si="177"/>
        <v>230</v>
      </c>
      <c r="Y262" s="100">
        <f t="shared" si="177"/>
        <v>260</v>
      </c>
      <c r="Z262" s="100">
        <f t="shared" si="177"/>
        <v>260</v>
      </c>
      <c r="AA262" s="100">
        <f t="shared" si="177"/>
        <v>260</v>
      </c>
      <c r="AB262" s="100">
        <f t="shared" si="177"/>
        <v>260</v>
      </c>
      <c r="AC262" s="100">
        <f t="shared" si="177"/>
        <v>270</v>
      </c>
      <c r="AD262" s="100">
        <f t="shared" si="177"/>
        <v>270</v>
      </c>
      <c r="AE262" s="100">
        <f t="shared" si="177"/>
        <v>270</v>
      </c>
      <c r="AF262" s="100">
        <f t="shared" si="177"/>
        <v>270</v>
      </c>
      <c r="AG262" s="100">
        <f t="shared" si="177"/>
        <v>285</v>
      </c>
      <c r="AH262" s="100">
        <f t="shared" si="177"/>
        <v>285</v>
      </c>
      <c r="AI262" s="100">
        <f t="shared" si="177"/>
        <v>285</v>
      </c>
      <c r="AJ262" s="100">
        <f t="shared" si="177"/>
        <v>285</v>
      </c>
      <c r="AK262" s="100">
        <f t="shared" si="177"/>
        <v>295</v>
      </c>
      <c r="AL262" s="100">
        <f t="shared" si="177"/>
        <v>295</v>
      </c>
      <c r="AM262" s="100">
        <f t="shared" si="177"/>
        <v>295</v>
      </c>
      <c r="AN262" s="100">
        <f t="shared" si="177"/>
        <v>295</v>
      </c>
      <c r="AO262" s="100">
        <f t="shared" si="177"/>
        <v>330</v>
      </c>
      <c r="AP262" s="100">
        <f t="shared" si="177"/>
        <v>330</v>
      </c>
      <c r="AQ262" s="100">
        <f t="shared" si="177"/>
        <v>330</v>
      </c>
      <c r="AR262" s="100">
        <f t="shared" si="177"/>
        <v>330</v>
      </c>
      <c r="AS262" s="100">
        <f t="shared" si="177"/>
        <v>350</v>
      </c>
      <c r="AT262" s="100">
        <f t="shared" si="177"/>
        <v>350</v>
      </c>
      <c r="AU262" s="100">
        <f t="shared" si="177"/>
        <v>350</v>
      </c>
      <c r="AV262" s="100">
        <f t="shared" si="177"/>
        <v>350</v>
      </c>
      <c r="AW262" s="100"/>
      <c r="AX262" s="100"/>
      <c r="AY262" s="100"/>
      <c r="AZ262" s="100"/>
    </row>
    <row r="263" spans="2:52" ht="20" hidden="1" customHeight="1" outlineLevel="1" x14ac:dyDescent="0.35">
      <c r="B263" s="11" t="s">
        <v>96</v>
      </c>
      <c r="F263" s="71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>
        <f>AV218</f>
        <v>29648.769873697758</v>
      </c>
      <c r="AW263" s="100"/>
      <c r="AX263" s="100"/>
      <c r="AY263" s="100"/>
      <c r="AZ263" s="100"/>
    </row>
    <row r="264" spans="2:52" ht="20" hidden="1" customHeight="1" outlineLevel="1" x14ac:dyDescent="0.35">
      <c r="B264" s="101" t="s">
        <v>97</v>
      </c>
      <c r="C264" s="101"/>
      <c r="D264" s="101"/>
      <c r="E264" s="101"/>
      <c r="F264" s="102"/>
      <c r="G264" s="102"/>
      <c r="H264" s="102">
        <f t="shared" ref="H264:AV264" si="178">SUM(H261:H263)</f>
        <v>-11250</v>
      </c>
      <c r="I264" s="102">
        <f t="shared" si="178"/>
        <v>200</v>
      </c>
      <c r="J264" s="102">
        <f t="shared" si="178"/>
        <v>200</v>
      </c>
      <c r="K264" s="102">
        <f t="shared" si="178"/>
        <v>200</v>
      </c>
      <c r="L264" s="102">
        <f t="shared" si="178"/>
        <v>200</v>
      </c>
      <c r="M264" s="102">
        <f t="shared" si="178"/>
        <v>210</v>
      </c>
      <c r="N264" s="102">
        <f t="shared" si="178"/>
        <v>210</v>
      </c>
      <c r="O264" s="102">
        <f t="shared" si="178"/>
        <v>210</v>
      </c>
      <c r="P264" s="102">
        <f t="shared" si="178"/>
        <v>210</v>
      </c>
      <c r="Q264" s="102">
        <f t="shared" si="178"/>
        <v>225</v>
      </c>
      <c r="R264" s="102">
        <f t="shared" si="178"/>
        <v>225</v>
      </c>
      <c r="S264" s="102">
        <f t="shared" si="178"/>
        <v>225</v>
      </c>
      <c r="T264" s="102">
        <f t="shared" si="178"/>
        <v>225</v>
      </c>
      <c r="U264" s="102">
        <f t="shared" si="178"/>
        <v>230</v>
      </c>
      <c r="V264" s="102">
        <f t="shared" si="178"/>
        <v>230</v>
      </c>
      <c r="W264" s="102">
        <f t="shared" si="178"/>
        <v>230</v>
      </c>
      <c r="X264" s="102">
        <f t="shared" si="178"/>
        <v>230</v>
      </c>
      <c r="Y264" s="102">
        <f t="shared" si="178"/>
        <v>260</v>
      </c>
      <c r="Z264" s="102">
        <f t="shared" si="178"/>
        <v>260</v>
      </c>
      <c r="AA264" s="102">
        <f t="shared" si="178"/>
        <v>260</v>
      </c>
      <c r="AB264" s="102">
        <f t="shared" si="178"/>
        <v>260</v>
      </c>
      <c r="AC264" s="102">
        <f t="shared" si="178"/>
        <v>270</v>
      </c>
      <c r="AD264" s="102">
        <f t="shared" si="178"/>
        <v>270</v>
      </c>
      <c r="AE264" s="102">
        <f t="shared" si="178"/>
        <v>270</v>
      </c>
      <c r="AF264" s="102">
        <f t="shared" si="178"/>
        <v>270</v>
      </c>
      <c r="AG264" s="102">
        <f t="shared" si="178"/>
        <v>285</v>
      </c>
      <c r="AH264" s="102">
        <f t="shared" si="178"/>
        <v>285</v>
      </c>
      <c r="AI264" s="102">
        <f t="shared" si="178"/>
        <v>285</v>
      </c>
      <c r="AJ264" s="102">
        <f t="shared" si="178"/>
        <v>285</v>
      </c>
      <c r="AK264" s="102">
        <f t="shared" si="178"/>
        <v>295</v>
      </c>
      <c r="AL264" s="102">
        <f t="shared" si="178"/>
        <v>295</v>
      </c>
      <c r="AM264" s="102">
        <f t="shared" si="178"/>
        <v>295</v>
      </c>
      <c r="AN264" s="102">
        <f t="shared" si="178"/>
        <v>295</v>
      </c>
      <c r="AO264" s="102">
        <f t="shared" si="178"/>
        <v>330</v>
      </c>
      <c r="AP264" s="102">
        <f t="shared" si="178"/>
        <v>330</v>
      </c>
      <c r="AQ264" s="102">
        <f t="shared" si="178"/>
        <v>330</v>
      </c>
      <c r="AR264" s="102">
        <f t="shared" si="178"/>
        <v>330</v>
      </c>
      <c r="AS264" s="102">
        <f t="shared" si="178"/>
        <v>350</v>
      </c>
      <c r="AT264" s="102">
        <f t="shared" si="178"/>
        <v>350</v>
      </c>
      <c r="AU264" s="102">
        <f t="shared" si="178"/>
        <v>350</v>
      </c>
      <c r="AV264" s="102">
        <f t="shared" si="178"/>
        <v>29998.769873697758</v>
      </c>
      <c r="AW264" s="102"/>
      <c r="AX264" s="102"/>
      <c r="AY264" s="102"/>
      <c r="AZ264" s="102"/>
    </row>
    <row r="265" spans="2:52" ht="20" hidden="1" customHeight="1" outlineLevel="1" x14ac:dyDescent="0.35"/>
    <row r="266" spans="2:52" ht="20" hidden="1" customHeight="1" outlineLevel="1" x14ac:dyDescent="0.35">
      <c r="B266" s="103" t="s">
        <v>98</v>
      </c>
      <c r="C266" s="104">
        <f>XIRR(H264:AV264,H259:AV259)</f>
        <v>0.16668856739997864</v>
      </c>
    </row>
    <row r="267" spans="2:52" ht="20" hidden="1" customHeight="1" outlineLevel="1" x14ac:dyDescent="0.35">
      <c r="B267" s="103" t="s">
        <v>99</v>
      </c>
      <c r="C267" s="104">
        <f>AVERAGE(I262:AV262)*4/-H261</f>
        <v>9.4399999999999998E-2</v>
      </c>
      <c r="H267" s="48"/>
    </row>
    <row r="268" spans="2:52" ht="20" hidden="1" customHeight="1" outlineLevel="1" x14ac:dyDescent="0.35">
      <c r="B268" s="103" t="s">
        <v>191</v>
      </c>
      <c r="C268" s="104">
        <f>SUM(I262:L262)/-H261</f>
        <v>7.1111111111111111E-2</v>
      </c>
    </row>
    <row r="269" spans="2:52" ht="20" hidden="1" customHeight="1" outlineLevel="1" x14ac:dyDescent="0.35"/>
    <row r="270" spans="2:52" ht="20" hidden="1" customHeight="1" outlineLevel="1" x14ac:dyDescent="0.35"/>
    <row r="271" spans="2:52" ht="20" hidden="1" customHeight="1" outlineLevel="1" x14ac:dyDescent="0.35">
      <c r="B271" s="13" t="s">
        <v>254</v>
      </c>
      <c r="C271" s="98"/>
      <c r="D271" s="98"/>
      <c r="E271" s="98"/>
      <c r="F271" s="40"/>
      <c r="G271" s="40"/>
      <c r="H271" s="40"/>
      <c r="I271" s="40">
        <f>I259</f>
        <v>46295</v>
      </c>
      <c r="J271" s="40">
        <f>J97-30</f>
        <v>46357</v>
      </c>
      <c r="K271" s="40">
        <f t="shared" ref="K271:AZ271" si="179">K97</f>
        <v>46477</v>
      </c>
      <c r="L271" s="40">
        <f t="shared" si="179"/>
        <v>46568</v>
      </c>
      <c r="M271" s="40">
        <f t="shared" si="179"/>
        <v>46660</v>
      </c>
      <c r="N271" s="40">
        <f t="shared" si="179"/>
        <v>46752</v>
      </c>
      <c r="O271" s="40">
        <f t="shared" si="179"/>
        <v>46843</v>
      </c>
      <c r="P271" s="40">
        <f t="shared" si="179"/>
        <v>46934</v>
      </c>
      <c r="Q271" s="40">
        <f t="shared" si="179"/>
        <v>47026</v>
      </c>
      <c r="R271" s="40">
        <f t="shared" si="179"/>
        <v>47118</v>
      </c>
      <c r="S271" s="40">
        <f t="shared" si="179"/>
        <v>47208</v>
      </c>
      <c r="T271" s="40">
        <f t="shared" si="179"/>
        <v>47299</v>
      </c>
      <c r="U271" s="40">
        <f t="shared" si="179"/>
        <v>47391</v>
      </c>
      <c r="V271" s="40">
        <f t="shared" si="179"/>
        <v>47483</v>
      </c>
      <c r="W271" s="40">
        <f t="shared" si="179"/>
        <v>47573</v>
      </c>
      <c r="X271" s="40">
        <f t="shared" si="179"/>
        <v>47664</v>
      </c>
      <c r="Y271" s="40">
        <f t="shared" si="179"/>
        <v>47756</v>
      </c>
      <c r="Z271" s="40">
        <f t="shared" si="179"/>
        <v>47848</v>
      </c>
      <c r="AA271" s="40">
        <f t="shared" si="179"/>
        <v>47938</v>
      </c>
      <c r="AB271" s="40">
        <f t="shared" si="179"/>
        <v>48029</v>
      </c>
      <c r="AC271" s="40">
        <f t="shared" si="179"/>
        <v>48121</v>
      </c>
      <c r="AD271" s="40">
        <f t="shared" si="179"/>
        <v>48213</v>
      </c>
      <c r="AE271" s="40">
        <f t="shared" si="179"/>
        <v>48304</v>
      </c>
      <c r="AF271" s="40">
        <f t="shared" si="179"/>
        <v>48395</v>
      </c>
      <c r="AG271" s="40">
        <f t="shared" si="179"/>
        <v>48487</v>
      </c>
      <c r="AH271" s="40">
        <f t="shared" si="179"/>
        <v>48579</v>
      </c>
      <c r="AI271" s="40">
        <f t="shared" si="179"/>
        <v>48669</v>
      </c>
      <c r="AJ271" s="40">
        <f t="shared" si="179"/>
        <v>48760</v>
      </c>
      <c r="AK271" s="40">
        <f t="shared" si="179"/>
        <v>48852</v>
      </c>
      <c r="AL271" s="40">
        <f t="shared" si="179"/>
        <v>48944</v>
      </c>
      <c r="AM271" s="40">
        <f t="shared" si="179"/>
        <v>49034</v>
      </c>
      <c r="AN271" s="40">
        <f t="shared" si="179"/>
        <v>49125</v>
      </c>
      <c r="AO271" s="40">
        <f t="shared" si="179"/>
        <v>49217</v>
      </c>
      <c r="AP271" s="40">
        <f t="shared" si="179"/>
        <v>49309</v>
      </c>
      <c r="AQ271" s="40">
        <f t="shared" si="179"/>
        <v>49399</v>
      </c>
      <c r="AR271" s="40">
        <f t="shared" si="179"/>
        <v>49490</v>
      </c>
      <c r="AS271" s="40">
        <f t="shared" si="179"/>
        <v>49582</v>
      </c>
      <c r="AT271" s="40">
        <f t="shared" si="179"/>
        <v>49674</v>
      </c>
      <c r="AU271" s="40">
        <f t="shared" si="179"/>
        <v>49765</v>
      </c>
      <c r="AV271" s="40">
        <f t="shared" si="179"/>
        <v>49856</v>
      </c>
      <c r="AW271" s="40">
        <f t="shared" si="179"/>
        <v>49948</v>
      </c>
      <c r="AX271" s="40">
        <f t="shared" si="179"/>
        <v>50040</v>
      </c>
      <c r="AY271" s="40">
        <f t="shared" si="179"/>
        <v>50130</v>
      </c>
      <c r="AZ271" s="40">
        <f t="shared" si="179"/>
        <v>50221</v>
      </c>
    </row>
    <row r="272" spans="2:52" ht="20" hidden="1" customHeight="1" outlineLevel="1" x14ac:dyDescent="0.35"/>
    <row r="273" spans="2:52" ht="20" hidden="1" customHeight="1" outlineLevel="1" x14ac:dyDescent="0.35">
      <c r="B273" s="11" t="s">
        <v>95</v>
      </c>
      <c r="F273" s="147"/>
      <c r="G273" s="115"/>
      <c r="H273" s="147"/>
      <c r="I273" s="147">
        <f>-C85</f>
        <v>-11750</v>
      </c>
      <c r="J273" s="147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</row>
    <row r="274" spans="2:52" ht="20" hidden="1" customHeight="1" outlineLevel="1" x14ac:dyDescent="0.35">
      <c r="B274" s="11" t="s">
        <v>28</v>
      </c>
      <c r="F274" s="71"/>
      <c r="G274" s="100"/>
      <c r="H274" s="100"/>
      <c r="I274" s="100"/>
      <c r="J274" s="100">
        <f t="shared" ref="J274:AW274" si="180">J219</f>
        <v>200</v>
      </c>
      <c r="K274" s="100">
        <f t="shared" si="180"/>
        <v>200</v>
      </c>
      <c r="L274" s="100">
        <f t="shared" si="180"/>
        <v>200</v>
      </c>
      <c r="M274" s="100">
        <f t="shared" si="180"/>
        <v>210</v>
      </c>
      <c r="N274" s="100">
        <f t="shared" si="180"/>
        <v>210</v>
      </c>
      <c r="O274" s="100">
        <f t="shared" si="180"/>
        <v>210</v>
      </c>
      <c r="P274" s="100">
        <f t="shared" si="180"/>
        <v>210</v>
      </c>
      <c r="Q274" s="100">
        <f t="shared" si="180"/>
        <v>225</v>
      </c>
      <c r="R274" s="100">
        <f t="shared" si="180"/>
        <v>225</v>
      </c>
      <c r="S274" s="100">
        <f t="shared" si="180"/>
        <v>225</v>
      </c>
      <c r="T274" s="100">
        <f t="shared" si="180"/>
        <v>225</v>
      </c>
      <c r="U274" s="100">
        <f t="shared" si="180"/>
        <v>230</v>
      </c>
      <c r="V274" s="100">
        <f t="shared" si="180"/>
        <v>230</v>
      </c>
      <c r="W274" s="100">
        <f t="shared" si="180"/>
        <v>230</v>
      </c>
      <c r="X274" s="100">
        <f t="shared" si="180"/>
        <v>230</v>
      </c>
      <c r="Y274" s="100">
        <f t="shared" si="180"/>
        <v>260</v>
      </c>
      <c r="Z274" s="100">
        <f t="shared" si="180"/>
        <v>260</v>
      </c>
      <c r="AA274" s="100">
        <f t="shared" si="180"/>
        <v>260</v>
      </c>
      <c r="AB274" s="100">
        <f t="shared" si="180"/>
        <v>260</v>
      </c>
      <c r="AC274" s="100">
        <f t="shared" si="180"/>
        <v>270</v>
      </c>
      <c r="AD274" s="100">
        <f t="shared" si="180"/>
        <v>270</v>
      </c>
      <c r="AE274" s="100">
        <f t="shared" si="180"/>
        <v>270</v>
      </c>
      <c r="AF274" s="100">
        <f t="shared" si="180"/>
        <v>270</v>
      </c>
      <c r="AG274" s="100">
        <f t="shared" si="180"/>
        <v>285</v>
      </c>
      <c r="AH274" s="100">
        <f t="shared" si="180"/>
        <v>285</v>
      </c>
      <c r="AI274" s="100">
        <f t="shared" si="180"/>
        <v>285</v>
      </c>
      <c r="AJ274" s="100">
        <f t="shared" si="180"/>
        <v>285</v>
      </c>
      <c r="AK274" s="100">
        <f t="shared" si="180"/>
        <v>295</v>
      </c>
      <c r="AL274" s="100">
        <f t="shared" si="180"/>
        <v>295</v>
      </c>
      <c r="AM274" s="100">
        <f t="shared" si="180"/>
        <v>295</v>
      </c>
      <c r="AN274" s="100">
        <f t="shared" si="180"/>
        <v>295</v>
      </c>
      <c r="AO274" s="100">
        <f t="shared" si="180"/>
        <v>330</v>
      </c>
      <c r="AP274" s="100">
        <f t="shared" si="180"/>
        <v>330</v>
      </c>
      <c r="AQ274" s="100">
        <f t="shared" si="180"/>
        <v>330</v>
      </c>
      <c r="AR274" s="100">
        <f t="shared" si="180"/>
        <v>330</v>
      </c>
      <c r="AS274" s="100">
        <f t="shared" si="180"/>
        <v>350</v>
      </c>
      <c r="AT274" s="100">
        <f t="shared" si="180"/>
        <v>350</v>
      </c>
      <c r="AU274" s="100">
        <f t="shared" si="180"/>
        <v>350</v>
      </c>
      <c r="AV274" s="100">
        <f t="shared" si="180"/>
        <v>350</v>
      </c>
      <c r="AW274" s="100">
        <f t="shared" si="180"/>
        <v>400</v>
      </c>
      <c r="AX274" s="100"/>
      <c r="AY274" s="100"/>
      <c r="AZ274" s="100"/>
    </row>
    <row r="275" spans="2:52" ht="20" hidden="1" customHeight="1" outlineLevel="1" x14ac:dyDescent="0.35">
      <c r="B275" s="11" t="s">
        <v>96</v>
      </c>
      <c r="F275" s="71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>
        <f>AW218</f>
        <v>30381.570146938455</v>
      </c>
      <c r="AX275" s="100"/>
      <c r="AY275" s="100"/>
      <c r="AZ275" s="100"/>
    </row>
    <row r="276" spans="2:52" ht="20" hidden="1" customHeight="1" outlineLevel="1" x14ac:dyDescent="0.35">
      <c r="B276" s="101" t="s">
        <v>97</v>
      </c>
      <c r="C276" s="101"/>
      <c r="D276" s="101"/>
      <c r="E276" s="101"/>
      <c r="F276" s="102"/>
      <c r="G276" s="102"/>
      <c r="H276" s="102"/>
      <c r="I276" s="102">
        <f>SUM(I273:I275)</f>
        <v>-11750</v>
      </c>
      <c r="J276" s="102">
        <f>SUM(J273:J275)</f>
        <v>200</v>
      </c>
      <c r="K276" s="102">
        <f t="shared" ref="K276:AW276" si="181">SUM(K273:K275)</f>
        <v>200</v>
      </c>
      <c r="L276" s="102">
        <f t="shared" si="181"/>
        <v>200</v>
      </c>
      <c r="M276" s="102">
        <f t="shared" si="181"/>
        <v>210</v>
      </c>
      <c r="N276" s="102">
        <f t="shared" si="181"/>
        <v>210</v>
      </c>
      <c r="O276" s="102">
        <f t="shared" si="181"/>
        <v>210</v>
      </c>
      <c r="P276" s="102">
        <f t="shared" si="181"/>
        <v>210</v>
      </c>
      <c r="Q276" s="102">
        <f t="shared" si="181"/>
        <v>225</v>
      </c>
      <c r="R276" s="102">
        <f t="shared" si="181"/>
        <v>225</v>
      </c>
      <c r="S276" s="102">
        <f t="shared" si="181"/>
        <v>225</v>
      </c>
      <c r="T276" s="102">
        <f t="shared" si="181"/>
        <v>225</v>
      </c>
      <c r="U276" s="102">
        <f t="shared" si="181"/>
        <v>230</v>
      </c>
      <c r="V276" s="102">
        <f t="shared" si="181"/>
        <v>230</v>
      </c>
      <c r="W276" s="102">
        <f t="shared" si="181"/>
        <v>230</v>
      </c>
      <c r="X276" s="102">
        <f t="shared" si="181"/>
        <v>230</v>
      </c>
      <c r="Y276" s="102">
        <f t="shared" si="181"/>
        <v>260</v>
      </c>
      <c r="Z276" s="102">
        <f t="shared" si="181"/>
        <v>260</v>
      </c>
      <c r="AA276" s="102">
        <f t="shared" si="181"/>
        <v>260</v>
      </c>
      <c r="AB276" s="102">
        <f t="shared" si="181"/>
        <v>260</v>
      </c>
      <c r="AC276" s="102">
        <f t="shared" si="181"/>
        <v>270</v>
      </c>
      <c r="AD276" s="102">
        <f t="shared" si="181"/>
        <v>270</v>
      </c>
      <c r="AE276" s="102">
        <f t="shared" si="181"/>
        <v>270</v>
      </c>
      <c r="AF276" s="102">
        <f t="shared" si="181"/>
        <v>270</v>
      </c>
      <c r="AG276" s="102">
        <f t="shared" si="181"/>
        <v>285</v>
      </c>
      <c r="AH276" s="102">
        <f t="shared" si="181"/>
        <v>285</v>
      </c>
      <c r="AI276" s="102">
        <f t="shared" si="181"/>
        <v>285</v>
      </c>
      <c r="AJ276" s="102">
        <f t="shared" si="181"/>
        <v>285</v>
      </c>
      <c r="AK276" s="102">
        <f t="shared" si="181"/>
        <v>295</v>
      </c>
      <c r="AL276" s="102">
        <f t="shared" si="181"/>
        <v>295</v>
      </c>
      <c r="AM276" s="102">
        <f t="shared" si="181"/>
        <v>295</v>
      </c>
      <c r="AN276" s="102">
        <f t="shared" si="181"/>
        <v>295</v>
      </c>
      <c r="AO276" s="102">
        <f t="shared" si="181"/>
        <v>330</v>
      </c>
      <c r="AP276" s="102">
        <f t="shared" si="181"/>
        <v>330</v>
      </c>
      <c r="AQ276" s="102">
        <f t="shared" si="181"/>
        <v>330</v>
      </c>
      <c r="AR276" s="102">
        <f t="shared" si="181"/>
        <v>330</v>
      </c>
      <c r="AS276" s="102">
        <f t="shared" si="181"/>
        <v>350</v>
      </c>
      <c r="AT276" s="102">
        <f t="shared" si="181"/>
        <v>350</v>
      </c>
      <c r="AU276" s="102">
        <f t="shared" si="181"/>
        <v>350</v>
      </c>
      <c r="AV276" s="102">
        <f t="shared" si="181"/>
        <v>350</v>
      </c>
      <c r="AW276" s="102">
        <f t="shared" si="181"/>
        <v>30781.570146938455</v>
      </c>
      <c r="AX276" s="102"/>
      <c r="AY276" s="102"/>
      <c r="AZ276" s="102"/>
    </row>
    <row r="277" spans="2:52" ht="20" hidden="1" customHeight="1" outlineLevel="1" x14ac:dyDescent="0.35"/>
    <row r="278" spans="2:52" ht="20" hidden="1" customHeight="1" outlineLevel="1" x14ac:dyDescent="0.35">
      <c r="B278" s="103" t="s">
        <v>98</v>
      </c>
      <c r="C278" s="104">
        <f>XIRR(I276:AW276,I271:AW271)</f>
        <v>0.1632370412349701</v>
      </c>
    </row>
    <row r="279" spans="2:52" ht="20" hidden="1" customHeight="1" outlineLevel="1" x14ac:dyDescent="0.35">
      <c r="B279" s="103" t="s">
        <v>99</v>
      </c>
      <c r="C279" s="104">
        <f>AVERAGE(J274:AW274)*4/-I273</f>
        <v>9.2085106382978718E-2</v>
      </c>
      <c r="H279" s="48"/>
    </row>
    <row r="280" spans="2:52" ht="20" hidden="1" customHeight="1" outlineLevel="1" x14ac:dyDescent="0.35">
      <c r="B280" s="103" t="s">
        <v>191</v>
      </c>
      <c r="C280" s="104">
        <f>SUM(J274:M274)/-I273</f>
        <v>6.8936170212765963E-2</v>
      </c>
    </row>
    <row r="281" spans="2:52" ht="20" hidden="1" customHeight="1" outlineLevel="1" x14ac:dyDescent="0.35"/>
    <row r="282" spans="2:52" ht="20" customHeight="1" collapsed="1" x14ac:dyDescent="0.35"/>
  </sheetData>
  <sheetProtection algorithmName="SHA-512" hashValue="/CWN5aXMIz3J2plFD8Xk4irwxOu3wVQojugCoH2JH8F1QwmtJ2wHFCnPpzMkDvtSu+l23sy5A/lZ97UztnZvdQ==" saltValue="5nXUSGLY2nT+xyF4VDeYnw==" spinCount="100000" sheet="1" objects="1" scenarios="1" selectLockedCells="1" selectUnlockedCells="1"/>
  <phoneticPr fontId="3" type="noConversion"/>
  <conditionalFormatting sqref="F101:AZ103">
    <cfRule type="colorScale" priority="6">
      <colorScale>
        <cfvo type="min"/>
        <cfvo type="max"/>
        <color rgb="FFFCFCFF"/>
        <color rgb="FF63BE7B"/>
      </colorScale>
    </cfRule>
  </conditionalFormatting>
  <conditionalFormatting sqref="F113:AZ113">
    <cfRule type="colorScale" priority="3">
      <colorScale>
        <cfvo type="min"/>
        <cfvo type="max"/>
        <color rgb="FFFCFCFF"/>
        <color rgb="FF63BE7B"/>
      </colorScale>
    </cfRule>
  </conditionalFormatting>
  <conditionalFormatting sqref="F122:AZ123 F117:AZ117 F114:AZ115">
    <cfRule type="colorScale" priority="2">
      <colorScale>
        <cfvo type="min"/>
        <cfvo type="max"/>
        <color rgb="FFFCFCFF"/>
        <color rgb="FF63BE7B"/>
      </colorScale>
    </cfRule>
  </conditionalFormatting>
  <conditionalFormatting sqref="G104:AZ105">
    <cfRule type="colorScale" priority="4">
      <colorScale>
        <cfvo type="min"/>
        <cfvo type="max"/>
        <color rgb="FFFCFCFF"/>
        <color rgb="FF63BE7B"/>
      </colorScale>
    </cfRule>
  </conditionalFormatting>
  <dataValidations count="1">
    <dataValidation type="list" allowBlank="1" showInputMessage="1" showErrorMessage="1" sqref="C1" xr:uid="{00000000-0002-0000-0000-000000000000}">
      <formula1>"1,2,3"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K1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R45"/>
  <sheetViews>
    <sheetView topLeftCell="A28" workbookViewId="0">
      <selection activeCell="E42" sqref="E42"/>
    </sheetView>
  </sheetViews>
  <sheetFormatPr baseColWidth="10" defaultColWidth="8.83203125" defaultRowHeight="13" x14ac:dyDescent="0.15"/>
  <cols>
    <col min="4" max="4" width="13.6640625" customWidth="1"/>
    <col min="5" max="5" width="12" customWidth="1"/>
    <col min="6" max="15" width="10.33203125" bestFit="1" customWidth="1"/>
  </cols>
  <sheetData>
    <row r="2" spans="4:18" x14ac:dyDescent="0.15">
      <c r="D2" s="1" t="e">
        <f>Модель!#REF!</f>
        <v>#REF!</v>
      </c>
    </row>
    <row r="3" spans="4:18" x14ac:dyDescent="0.15"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</row>
    <row r="4" spans="4:18" x14ac:dyDescent="0.15">
      <c r="E4" t="s">
        <v>60</v>
      </c>
      <c r="F4" s="1" t="e">
        <f>EOMONTH(D2,12)</f>
        <v>#REF!</v>
      </c>
      <c r="G4" s="1" t="e">
        <f t="shared" ref="G4:O4" si="0">EOMONTH(F4,12)</f>
        <v>#REF!</v>
      </c>
      <c r="H4" s="1" t="e">
        <f t="shared" si="0"/>
        <v>#REF!</v>
      </c>
      <c r="I4" s="1" t="e">
        <f t="shared" si="0"/>
        <v>#REF!</v>
      </c>
      <c r="J4" s="1" t="e">
        <f t="shared" si="0"/>
        <v>#REF!</v>
      </c>
      <c r="K4" s="1" t="e">
        <f t="shared" si="0"/>
        <v>#REF!</v>
      </c>
      <c r="L4" s="1" t="e">
        <f t="shared" si="0"/>
        <v>#REF!</v>
      </c>
      <c r="M4" s="1" t="e">
        <f t="shared" si="0"/>
        <v>#REF!</v>
      </c>
      <c r="N4" s="1" t="e">
        <f t="shared" si="0"/>
        <v>#REF!</v>
      </c>
      <c r="O4" s="1" t="e">
        <f t="shared" si="0"/>
        <v>#REF!</v>
      </c>
      <c r="P4" s="1"/>
      <c r="Q4" s="1"/>
    </row>
    <row r="5" spans="4:18" x14ac:dyDescent="0.15">
      <c r="D5" t="s">
        <v>61</v>
      </c>
      <c r="E5" s="5">
        <v>10000</v>
      </c>
      <c r="F5" s="5" t="e">
        <f>HLOOKUP(F4,Модель!$G$97:$AV$233,81,0)</f>
        <v>#REF!</v>
      </c>
      <c r="G5" s="5" t="e">
        <f>HLOOKUP(G4,Модель!$G$97:$AV$233,81,0)</f>
        <v>#REF!</v>
      </c>
      <c r="H5" s="5" t="e">
        <f>HLOOKUP(H4,Модель!$G$97:$AV$233,81,0)</f>
        <v>#REF!</v>
      </c>
      <c r="I5" s="5" t="e">
        <f>HLOOKUP(I4,Модель!$G$97:$AV$233,81,0)</f>
        <v>#REF!</v>
      </c>
      <c r="J5" s="5" t="e">
        <f>HLOOKUP(J4,Модель!$G$97:$AV$233,81,0)</f>
        <v>#REF!</v>
      </c>
      <c r="K5" s="5" t="e">
        <f>HLOOKUP(K4,Модель!$G$97:$AV$233,81,0)</f>
        <v>#REF!</v>
      </c>
      <c r="L5" s="5" t="e">
        <f>HLOOKUP(L4,Модель!$G$97:$AV$233,81,0)</f>
        <v>#REF!</v>
      </c>
      <c r="M5" s="5" t="e">
        <f>HLOOKUP(M4,Модель!$G$97:$AV$233,81,0)</f>
        <v>#REF!</v>
      </c>
      <c r="N5" s="5" t="e">
        <f>HLOOKUP(N4,Модель!$G$97:$AV$233,81,0)</f>
        <v>#REF!</v>
      </c>
      <c r="O5" s="5" t="e">
        <f>HLOOKUP(O4,Модель!$G$97:$AV$233,81,0)</f>
        <v>#REF!</v>
      </c>
    </row>
    <row r="6" spans="4:18" x14ac:dyDescent="0.15">
      <c r="D6" t="s">
        <v>59</v>
      </c>
      <c r="E6" s="5">
        <v>0</v>
      </c>
      <c r="F6" s="5" t="e">
        <f>SUMIF(Модель!#REF!,F3,Модель!#REF!)</f>
        <v>#REF!</v>
      </c>
      <c r="G6" s="5" t="e">
        <f>SUMIF(Модель!#REF!,G3,Модель!#REF!)</f>
        <v>#REF!</v>
      </c>
      <c r="H6" s="5" t="e">
        <f>SUMIF(Модель!#REF!,H3,Модель!#REF!)</f>
        <v>#REF!</v>
      </c>
      <c r="I6" s="5" t="e">
        <f>SUMIF(Модель!#REF!,I3,Модель!#REF!)</f>
        <v>#REF!</v>
      </c>
      <c r="J6" s="5" t="e">
        <f>SUMIF(Модель!#REF!,J3,Модель!#REF!)</f>
        <v>#REF!</v>
      </c>
      <c r="K6" s="5" t="e">
        <f>SUMIF(Модель!#REF!,K3,Модель!#REF!)</f>
        <v>#REF!</v>
      </c>
      <c r="L6" s="5" t="e">
        <f>SUMIF(Модель!#REF!,L3,Модель!#REF!)</f>
        <v>#REF!</v>
      </c>
      <c r="M6" s="5" t="e">
        <f>SUMIF(Модель!#REF!,M3,Модель!#REF!)</f>
        <v>#REF!</v>
      </c>
      <c r="N6" s="5" t="e">
        <f>SUMIF(Модель!#REF!,N3,Модель!#REF!)</f>
        <v>#REF!</v>
      </c>
      <c r="O6" s="5" t="e">
        <f>SUMIF(Модель!#REF!,O3,Модель!#REF!)</f>
        <v>#REF!</v>
      </c>
    </row>
    <row r="9" spans="4:18" x14ac:dyDescent="0.15">
      <c r="E9" t="str">
        <f>E4</f>
        <v>покупка</v>
      </c>
      <c r="F9" s="1" t="s">
        <v>48</v>
      </c>
      <c r="G9" s="1" t="s">
        <v>49</v>
      </c>
      <c r="H9" s="1" t="s">
        <v>50</v>
      </c>
      <c r="I9" s="1" t="s">
        <v>63</v>
      </c>
      <c r="J9" s="1" t="s">
        <v>51</v>
      </c>
      <c r="K9" s="1" t="s">
        <v>52</v>
      </c>
      <c r="L9" s="1" t="s">
        <v>53</v>
      </c>
      <c r="M9" s="1" t="s">
        <v>54</v>
      </c>
      <c r="N9" s="1" t="s">
        <v>55</v>
      </c>
      <c r="O9" s="1" t="s">
        <v>56</v>
      </c>
    </row>
    <row r="10" spans="4:18" x14ac:dyDescent="0.15">
      <c r="D10" t="str">
        <f>D5</f>
        <v xml:space="preserve">Цена акции </v>
      </c>
      <c r="E10" s="3">
        <f>E5</f>
        <v>10000</v>
      </c>
      <c r="F10" s="3" t="e">
        <f>E10*(1+$P$10)</f>
        <v>#REF!</v>
      </c>
      <c r="G10" s="3" t="e">
        <f t="shared" ref="G10:N10" si="1">F10*(1+$P$10)</f>
        <v>#REF!</v>
      </c>
      <c r="H10" s="3" t="e">
        <f t="shared" si="1"/>
        <v>#REF!</v>
      </c>
      <c r="I10" s="3" t="e">
        <f t="shared" si="1"/>
        <v>#REF!</v>
      </c>
      <c r="J10" s="3" t="e">
        <f t="shared" si="1"/>
        <v>#REF!</v>
      </c>
      <c r="K10" s="3" t="e">
        <f t="shared" si="1"/>
        <v>#REF!</v>
      </c>
      <c r="L10" s="3" t="e">
        <f t="shared" si="1"/>
        <v>#REF!</v>
      </c>
      <c r="M10" s="3" t="e">
        <f t="shared" si="1"/>
        <v>#REF!</v>
      </c>
      <c r="N10" s="3" t="e">
        <f t="shared" si="1"/>
        <v>#REF!</v>
      </c>
      <c r="O10" s="3" t="e">
        <f t="shared" ref="O10" si="2">O5</f>
        <v>#REF!</v>
      </c>
      <c r="P10" s="6" t="e">
        <f>(O10/E10)^(1/10)-1</f>
        <v>#REF!</v>
      </c>
    </row>
    <row r="11" spans="4:18" x14ac:dyDescent="0.15">
      <c r="D11" t="s">
        <v>62</v>
      </c>
      <c r="E11">
        <f>E6*8</f>
        <v>0</v>
      </c>
      <c r="F11" t="e">
        <f t="shared" ref="F11:O11" si="3">F6*8</f>
        <v>#REF!</v>
      </c>
      <c r="G11" t="e">
        <f t="shared" si="3"/>
        <v>#REF!</v>
      </c>
      <c r="H11" t="e">
        <f t="shared" si="3"/>
        <v>#REF!</v>
      </c>
      <c r="I11" t="e">
        <f t="shared" si="3"/>
        <v>#REF!</v>
      </c>
      <c r="J11" t="e">
        <f t="shared" si="3"/>
        <v>#REF!</v>
      </c>
      <c r="K11" t="e">
        <f t="shared" si="3"/>
        <v>#REF!</v>
      </c>
      <c r="L11" t="e">
        <f t="shared" si="3"/>
        <v>#REF!</v>
      </c>
      <c r="M11" t="e">
        <f t="shared" si="3"/>
        <v>#REF!</v>
      </c>
      <c r="N11" t="e">
        <f t="shared" si="3"/>
        <v>#REF!</v>
      </c>
      <c r="O11" t="e">
        <f t="shared" si="3"/>
        <v>#REF!</v>
      </c>
      <c r="Q11" t="e">
        <f>(O10+SUM(E6:O6))/E10</f>
        <v>#REF!</v>
      </c>
      <c r="R11" t="e">
        <f>O10/E10</f>
        <v>#REF!</v>
      </c>
    </row>
    <row r="13" spans="4:18" x14ac:dyDescent="0.15">
      <c r="Q13" t="e">
        <f>SUM(E6:O6)/E5</f>
        <v>#REF!</v>
      </c>
    </row>
    <row r="44" spans="5:17" x14ac:dyDescent="0.15">
      <c r="F44" t="s">
        <v>60</v>
      </c>
      <c r="G44" t="s">
        <v>34</v>
      </c>
      <c r="H44" t="s">
        <v>64</v>
      </c>
      <c r="I44" t="s">
        <v>65</v>
      </c>
      <c r="J44" t="s">
        <v>66</v>
      </c>
      <c r="K44" t="s">
        <v>67</v>
      </c>
      <c r="L44" t="s">
        <v>68</v>
      </c>
    </row>
    <row r="45" spans="5:17" x14ac:dyDescent="0.15">
      <c r="E45" s="3"/>
      <c r="F45" s="3">
        <v>10000</v>
      </c>
      <c r="G45" s="3"/>
      <c r="H45" s="3"/>
      <c r="I45" s="3"/>
      <c r="J45" s="3"/>
      <c r="K45" s="3"/>
      <c r="L45" s="3">
        <v>15059</v>
      </c>
      <c r="M45" s="3"/>
      <c r="N45" s="3"/>
      <c r="O45" s="3"/>
      <c r="P45" s="3"/>
      <c r="Q45" s="3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M10"/>
  <sheetViews>
    <sheetView workbookViewId="0">
      <selection activeCell="G38" sqref="G38"/>
    </sheetView>
  </sheetViews>
  <sheetFormatPr baseColWidth="10" defaultColWidth="8.83203125" defaultRowHeight="13" x14ac:dyDescent="0.15"/>
  <cols>
    <col min="4" max="4" width="13.1640625" customWidth="1"/>
  </cols>
  <sheetData>
    <row r="3" spans="4:13" x14ac:dyDescent="0.15"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</row>
    <row r="4" spans="4:13" x14ac:dyDescent="0.15">
      <c r="E4" s="1" t="s">
        <v>60</v>
      </c>
      <c r="F4" s="1">
        <v>45382</v>
      </c>
      <c r="G4" s="1">
        <v>45473</v>
      </c>
      <c r="H4" s="1">
        <v>45565</v>
      </c>
      <c r="I4" s="1">
        <v>45657</v>
      </c>
      <c r="J4" s="1">
        <v>45747</v>
      </c>
      <c r="K4" s="1">
        <v>45838</v>
      </c>
      <c r="L4">
        <f>K4-F4</f>
        <v>456</v>
      </c>
    </row>
    <row r="5" spans="4:13" x14ac:dyDescent="0.15">
      <c r="D5" t="s">
        <v>61</v>
      </c>
      <c r="E5" s="3">
        <v>10000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15058.638482969463</v>
      </c>
      <c r="M5" s="2">
        <f>(K5/E5)^(1/K3)-1</f>
        <v>7.0609151037329676E-2</v>
      </c>
    </row>
    <row r="6" spans="4:13" x14ac:dyDescent="0.15">
      <c r="D6" t="s">
        <v>59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/>
    </row>
    <row r="10" spans="4:13" x14ac:dyDescent="0.15">
      <c r="L10" s="4" t="e">
        <f>YEARFRAC(Модель!#REF!,K4)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Калькулятор инвестора</vt:lpstr>
      <vt:lpstr>Модель</vt:lpstr>
      <vt:lpstr>Sheet2</vt:lpstr>
      <vt:lpstr>Sheet1</vt:lpstr>
      <vt:lpstr>Модель!exit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VRyabov Investment Analyst @SimpleEstate</dc:creator>
  <cp:lastModifiedBy>k633</cp:lastModifiedBy>
  <dcterms:created xsi:type="dcterms:W3CDTF">2023-03-28T06:36:12Z</dcterms:created>
  <dcterms:modified xsi:type="dcterms:W3CDTF">2025-11-24T15:38:08Z</dcterms:modified>
</cp:coreProperties>
</file>