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885" windowWidth="24795" windowHeight="5475"/>
  </bookViews>
  <sheets>
    <sheet name="Гр-к к ГП 2014" sheetId="2" r:id="rId1"/>
  </sheets>
  <definedNames>
    <definedName name="_xlnm.Print_Titles" localSheetId="0">'Гр-к к ГП 2014'!$4:$6</definedName>
    <definedName name="_xlnm.Print_Area" localSheetId="0">'Гр-к к ГП 2014'!$B$1:$BH$123</definedName>
  </definedNames>
  <calcPr calcId="144525"/>
</workbook>
</file>

<file path=xl/calcChain.xml><?xml version="1.0" encoding="utf-8"?>
<calcChain xmlns="http://schemas.openxmlformats.org/spreadsheetml/2006/main">
  <c r="H113" i="2" l="1"/>
  <c r="AV111" i="2"/>
  <c r="I58" i="2" l="1"/>
  <c r="BJ58" i="2" s="1"/>
  <c r="BJ37" i="2"/>
  <c r="H100" i="2"/>
  <c r="BJ100" i="2" s="1"/>
  <c r="H99" i="2"/>
  <c r="BJ99" i="2" s="1"/>
  <c r="BJ101" i="2"/>
  <c r="BJ102" i="2"/>
  <c r="BJ103" i="2"/>
  <c r="BJ104" i="2"/>
  <c r="BJ105" i="2"/>
  <c r="BJ106" i="2"/>
  <c r="BJ96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11" i="2"/>
  <c r="BH26" i="2"/>
  <c r="AV105" i="2"/>
  <c r="AV100" i="2"/>
  <c r="AV96" i="2"/>
  <c r="AV37" i="2" l="1"/>
  <c r="H37" i="2" l="1"/>
  <c r="AU26" i="2"/>
  <c r="BH25" i="2"/>
  <c r="AH25" i="2"/>
  <c r="AH23" i="2"/>
  <c r="U23" i="2"/>
  <c r="AU22" i="2"/>
  <c r="AU23" i="2" s="1"/>
  <c r="AH19" i="2"/>
  <c r="U18" i="2"/>
  <c r="U13" i="2"/>
  <c r="H20" i="2"/>
  <c r="AH21" i="2" s="1"/>
  <c r="H11" i="2"/>
  <c r="AH12" i="2" s="1"/>
  <c r="AU25" i="2" l="1"/>
  <c r="U12" i="2"/>
  <c r="AU11" i="2"/>
  <c r="AU12" i="2" s="1"/>
  <c r="U21" i="2"/>
  <c r="AU21" i="2"/>
  <c r="BH22" i="2"/>
  <c r="BH20" i="2"/>
  <c r="BH21" i="2" s="1"/>
  <c r="BH23" i="2" l="1"/>
  <c r="V106" i="2" l="1"/>
  <c r="I106" i="2"/>
  <c r="AV103" i="2"/>
  <c r="AI103" i="2"/>
  <c r="V103" i="2"/>
  <c r="I103" i="2"/>
  <c r="AV102" i="2"/>
  <c r="AI102" i="2"/>
  <c r="V102" i="2"/>
  <c r="AV101" i="2"/>
  <c r="AI101" i="2"/>
  <c r="V101" i="2"/>
  <c r="H98" i="2"/>
  <c r="H96" i="2"/>
  <c r="H95" i="2"/>
  <c r="H91" i="2"/>
  <c r="H89" i="2"/>
  <c r="H88" i="2"/>
  <c r="H87" i="2"/>
  <c r="H86" i="2"/>
  <c r="H85" i="2"/>
  <c r="U83" i="2"/>
  <c r="H81" i="2"/>
  <c r="U80" i="2"/>
  <c r="H80" i="2"/>
  <c r="U79" i="2"/>
  <c r="H79" i="2"/>
  <c r="H77" i="2"/>
  <c r="I77" i="2" s="1"/>
  <c r="V76" i="2"/>
  <c r="I76" i="2"/>
  <c r="I9" i="2" s="1"/>
  <c r="H76" i="2"/>
  <c r="U71" i="2"/>
  <c r="AH68" i="2"/>
  <c r="U68" i="2"/>
  <c r="H58" i="2"/>
  <c r="AU56" i="2"/>
  <c r="AH56" i="2"/>
  <c r="U56" i="2"/>
  <c r="U54" i="2"/>
  <c r="H54" i="2" s="1"/>
  <c r="AU51" i="2"/>
  <c r="AH51" i="2"/>
  <c r="U51" i="2"/>
  <c r="H49" i="2"/>
  <c r="AU45" i="2"/>
  <c r="AH45" i="2"/>
  <c r="AH43" i="2"/>
  <c r="H42" i="2"/>
  <c r="AH41" i="2"/>
  <c r="H39" i="2"/>
  <c r="BG9" i="2"/>
  <c r="BG107" i="2" s="1"/>
  <c r="BG111" i="2" s="1"/>
  <c r="BF9" i="2"/>
  <c r="BF107" i="2" s="1"/>
  <c r="BF111" i="2" s="1"/>
  <c r="BE9" i="2"/>
  <c r="BE107" i="2" s="1"/>
  <c r="BE111" i="2" s="1"/>
  <c r="BD9" i="2"/>
  <c r="BD107" i="2" s="1"/>
  <c r="BD111" i="2" s="1"/>
  <c r="BC9" i="2"/>
  <c r="BC107" i="2" s="1"/>
  <c r="BC111" i="2" s="1"/>
  <c r="BB9" i="2"/>
  <c r="BB107" i="2" s="1"/>
  <c r="BB111" i="2" s="1"/>
  <c r="BB112" i="2" s="1"/>
  <c r="BA9" i="2"/>
  <c r="BA107" i="2" s="1"/>
  <c r="BA111" i="2" s="1"/>
  <c r="AZ9" i="2"/>
  <c r="AZ107" i="2" s="1"/>
  <c r="AZ111" i="2" s="1"/>
  <c r="AY9" i="2"/>
  <c r="AY107" i="2" s="1"/>
  <c r="AY111" i="2" s="1"/>
  <c r="AX9" i="2"/>
  <c r="AX107" i="2" s="1"/>
  <c r="AX111" i="2" s="1"/>
  <c r="AW9" i="2"/>
  <c r="AW107" i="2" s="1"/>
  <c r="AW111" i="2" s="1"/>
  <c r="AV9" i="2"/>
  <c r="AV10" i="2" s="1"/>
  <c r="AT9" i="2"/>
  <c r="AT107" i="2" s="1"/>
  <c r="AT111" i="2" s="1"/>
  <c r="AS9" i="2"/>
  <c r="AS107" i="2" s="1"/>
  <c r="AS111" i="2" s="1"/>
  <c r="AS112" i="2" s="1"/>
  <c r="AR9" i="2"/>
  <c r="AR107" i="2" s="1"/>
  <c r="AR111" i="2" s="1"/>
  <c r="AQ9" i="2"/>
  <c r="AQ107" i="2" s="1"/>
  <c r="AQ111" i="2" s="1"/>
  <c r="AP9" i="2"/>
  <c r="AP107" i="2" s="1"/>
  <c r="AP111" i="2" s="1"/>
  <c r="AO9" i="2"/>
  <c r="AO107" i="2" s="1"/>
  <c r="AO111" i="2" s="1"/>
  <c r="AN9" i="2"/>
  <c r="AN107" i="2" s="1"/>
  <c r="AN111" i="2" s="1"/>
  <c r="AM9" i="2"/>
  <c r="AM107" i="2" s="1"/>
  <c r="AM111" i="2" s="1"/>
  <c r="AL9" i="2"/>
  <c r="AL107" i="2" s="1"/>
  <c r="AL111" i="2" s="1"/>
  <c r="AK9" i="2"/>
  <c r="AK107" i="2" s="1"/>
  <c r="AK111" i="2" s="1"/>
  <c r="AK112" i="2" s="1"/>
  <c r="AJ9" i="2"/>
  <c r="AJ107" i="2" s="1"/>
  <c r="AJ111" i="2" s="1"/>
  <c r="AI9" i="2"/>
  <c r="AI10" i="2" s="1"/>
  <c r="AG9" i="2"/>
  <c r="AG107" i="2" s="1"/>
  <c r="AG111" i="2" s="1"/>
  <c r="AF9" i="2"/>
  <c r="AF107" i="2" s="1"/>
  <c r="AF111" i="2" s="1"/>
  <c r="AE9" i="2"/>
  <c r="AE107" i="2" s="1"/>
  <c r="AE111" i="2" s="1"/>
  <c r="AD9" i="2"/>
  <c r="AD107" i="2" s="1"/>
  <c r="AD111" i="2" s="1"/>
  <c r="AC9" i="2"/>
  <c r="AC107" i="2" s="1"/>
  <c r="AC111" i="2" s="1"/>
  <c r="AB9" i="2"/>
  <c r="AB107" i="2" s="1"/>
  <c r="AB111" i="2" s="1"/>
  <c r="AB112" i="2" s="1"/>
  <c r="AA9" i="2"/>
  <c r="AA107" i="2" s="1"/>
  <c r="AA111" i="2" s="1"/>
  <c r="Z9" i="2"/>
  <c r="Z107" i="2" s="1"/>
  <c r="Z111" i="2" s="1"/>
  <c r="Y9" i="2"/>
  <c r="Y107" i="2" s="1"/>
  <c r="Y111" i="2" s="1"/>
  <c r="X9" i="2"/>
  <c r="X107" i="2" s="1"/>
  <c r="X111" i="2" s="1"/>
  <c r="W9" i="2"/>
  <c r="W107" i="2" s="1"/>
  <c r="W111" i="2" s="1"/>
  <c r="V9" i="2"/>
  <c r="V10" i="2" s="1"/>
  <c r="T9" i="2"/>
  <c r="T107" i="2" s="1"/>
  <c r="T111" i="2" s="1"/>
  <c r="S9" i="2"/>
  <c r="S107" i="2" s="1"/>
  <c r="S111" i="2" s="1"/>
  <c r="S112" i="2" s="1"/>
  <c r="R9" i="2"/>
  <c r="R107" i="2" s="1"/>
  <c r="R111" i="2" s="1"/>
  <c r="Q9" i="2"/>
  <c r="Q107" i="2" s="1"/>
  <c r="Q111" i="2" s="1"/>
  <c r="P9" i="2"/>
  <c r="P107" i="2" s="1"/>
  <c r="P111" i="2" s="1"/>
  <c r="O9" i="2"/>
  <c r="O107" i="2" s="1"/>
  <c r="O111" i="2" s="1"/>
  <c r="N9" i="2"/>
  <c r="N107" i="2" s="1"/>
  <c r="N111" i="2" s="1"/>
  <c r="M9" i="2"/>
  <c r="M107" i="2" s="1"/>
  <c r="M111" i="2" s="1"/>
  <c r="L9" i="2"/>
  <c r="L107" i="2" s="1"/>
  <c r="L111" i="2" s="1"/>
  <c r="K9" i="2"/>
  <c r="K107" i="2" s="1"/>
  <c r="K111" i="2" s="1"/>
  <c r="K112" i="2" s="1"/>
  <c r="J9" i="2"/>
  <c r="J107" i="2" s="1"/>
  <c r="J111" i="2" s="1"/>
  <c r="H8" i="2"/>
  <c r="H45" i="2" l="1"/>
  <c r="I107" i="2"/>
  <c r="I110" i="2" s="1"/>
  <c r="H106" i="2"/>
  <c r="H51" i="2"/>
  <c r="H56" i="2"/>
  <c r="AV107" i="2"/>
  <c r="AI107" i="2"/>
  <c r="AI110" i="2" s="1"/>
  <c r="V107" i="2"/>
  <c r="V110" i="2" s="1"/>
  <c r="BD112" i="2"/>
  <c r="BD113" i="2" s="1"/>
  <c r="M112" i="2"/>
  <c r="M113" i="2" s="1"/>
  <c r="AD112" i="2"/>
  <c r="AD113" i="2" s="1"/>
  <c r="AO112" i="2"/>
  <c r="AO113" i="2" s="1"/>
  <c r="AX112" i="2"/>
  <c r="AX113" i="2"/>
  <c r="BF112" i="2"/>
  <c r="BF113" i="2" s="1"/>
  <c r="O112" i="2"/>
  <c r="O113" i="2" s="1"/>
  <c r="X112" i="2"/>
  <c r="X113" i="2" s="1"/>
  <c r="AF112" i="2"/>
  <c r="AF113" i="2" s="1"/>
  <c r="AQ112" i="2"/>
  <c r="AQ113" i="2" s="1"/>
  <c r="AZ112" i="2"/>
  <c r="AZ113" i="2" s="1"/>
  <c r="AM112" i="2"/>
  <c r="AM113" i="2" s="1"/>
  <c r="Q112" i="2"/>
  <c r="Q113" i="2" s="1"/>
  <c r="Z112" i="2"/>
  <c r="Z113" i="2" s="1"/>
  <c r="L112" i="2"/>
  <c r="L113" i="2" s="1"/>
  <c r="T112" i="2"/>
  <c r="T113" i="2" s="1"/>
  <c r="AC112" i="2"/>
  <c r="AC113" i="2" s="1"/>
  <c r="AL112" i="2"/>
  <c r="AL113" i="2" s="1"/>
  <c r="AT112" i="2"/>
  <c r="AT113" i="2" s="1"/>
  <c r="BC112" i="2"/>
  <c r="BC113" i="2" s="1"/>
  <c r="H9" i="2"/>
  <c r="H10" i="2" s="1"/>
  <c r="I10" i="2"/>
  <c r="J112" i="2"/>
  <c r="J113" i="2" s="1"/>
  <c r="N112" i="2"/>
  <c r="N113" i="2" s="1"/>
  <c r="R112" i="2"/>
  <c r="R113" i="2" s="1"/>
  <c r="W112" i="2"/>
  <c r="W113" i="2" s="1"/>
  <c r="AA112" i="2"/>
  <c r="AA113" i="2" s="1"/>
  <c r="AE112" i="2"/>
  <c r="AE113" i="2" s="1"/>
  <c r="AJ112" i="2"/>
  <c r="AJ113" i="2" s="1"/>
  <c r="AN112" i="2"/>
  <c r="AN113" i="2" s="1"/>
  <c r="AR112" i="2"/>
  <c r="AR113" i="2" s="1"/>
  <c r="AW112" i="2"/>
  <c r="AW113" i="2" s="1"/>
  <c r="BA112" i="2"/>
  <c r="BA113" i="2" s="1"/>
  <c r="BE112" i="2"/>
  <c r="BE113" i="2" s="1"/>
  <c r="K113" i="2"/>
  <c r="S113" i="2"/>
  <c r="AB113" i="2"/>
  <c r="AK113" i="2"/>
  <c r="AS113" i="2"/>
  <c r="P112" i="2"/>
  <c r="P113" i="2" s="1"/>
  <c r="Y112" i="2"/>
  <c r="Y113" i="2" s="1"/>
  <c r="AG112" i="2"/>
  <c r="AG113" i="2" s="1"/>
  <c r="AP112" i="2"/>
  <c r="AP113" i="2" s="1"/>
  <c r="AY112" i="2"/>
  <c r="AY113" i="2" s="1"/>
  <c r="BG112" i="2"/>
  <c r="BG113" i="2" s="1"/>
  <c r="BB113" i="2"/>
  <c r="I109" i="2" l="1"/>
  <c r="I108" i="2" s="1"/>
  <c r="H107" i="2"/>
  <c r="BJ107" i="2" s="1"/>
  <c r="AI111" i="2"/>
  <c r="AI109" i="2"/>
  <c r="AI108" i="2" s="1"/>
  <c r="V109" i="2"/>
  <c r="I111" i="2" l="1"/>
  <c r="H108" i="2"/>
  <c r="AV110" i="2"/>
  <c r="AV109" i="2"/>
  <c r="H109" i="2" s="1"/>
  <c r="BJ109" i="2" s="1"/>
  <c r="V108" i="2"/>
  <c r="V111" i="2" s="1"/>
  <c r="AV108" i="2" l="1"/>
  <c r="H110" i="2"/>
  <c r="BJ110" i="2" s="1"/>
  <c r="H111" i="2" l="1"/>
  <c r="BJ108" i="2"/>
  <c r="H112" i="2" l="1"/>
  <c r="BJ111" i="2"/>
  <c r="AV112" i="2" l="1"/>
  <c r="AV113" i="2" s="1"/>
  <c r="I112" i="2"/>
  <c r="V112" i="2"/>
  <c r="V113" i="2" s="1"/>
  <c r="AI112" i="2"/>
  <c r="AI113" i="2" s="1"/>
  <c r="BJ112" i="2" l="1"/>
  <c r="I113" i="2"/>
  <c r="BJ113" i="2" s="1"/>
</calcChain>
</file>

<file path=xl/sharedStrings.xml><?xml version="1.0" encoding="utf-8"?>
<sst xmlns="http://schemas.openxmlformats.org/spreadsheetml/2006/main" count="260" uniqueCount="127">
  <si>
    <t>Приложение № 2</t>
  </si>
  <si>
    <t>к Договору № _______ от _______________</t>
  </si>
  <si>
    <t>№ главы</t>
  </si>
  <si>
    <t>Виды работ</t>
  </si>
  <si>
    <t>Ед. изм.</t>
  </si>
  <si>
    <t>Объемы/ стоимость</t>
  </si>
  <si>
    <t>2011 год</t>
  </si>
  <si>
    <t>Объемы работ в 2011 г.</t>
  </si>
  <si>
    <t>2012 год</t>
  </si>
  <si>
    <t>Объемы работ в 2012 г.</t>
  </si>
  <si>
    <t>2013 год</t>
  </si>
  <si>
    <t>Объемы работ в 2013 г.</t>
  </si>
  <si>
    <t>2014 год</t>
  </si>
  <si>
    <t>Объемы работ в 2014 г.</t>
  </si>
  <si>
    <t>1 кв.</t>
  </si>
  <si>
    <t>2 кв.</t>
  </si>
  <si>
    <t>3 кв.</t>
  </si>
  <si>
    <t>4 кв.</t>
  </si>
  <si>
    <t>тыс. руб.</t>
  </si>
  <si>
    <t>Туннель безнапорный деривационный  №2</t>
  </si>
  <si>
    <t>Проходка туннеля полным сечением с учетом камер разворота</t>
  </si>
  <si>
    <t>м.п.</t>
  </si>
  <si>
    <t>тыс. м³</t>
  </si>
  <si>
    <t>Устройство припортальной площадки ПШ-4</t>
  </si>
  <si>
    <t>Проходка ПШ-4</t>
  </si>
  <si>
    <t>Проходка ПШ-5</t>
  </si>
  <si>
    <t>Заполнение пустот в ранее выполненной обделке</t>
  </si>
  <si>
    <t>Востановительные работы по ранее выполненной обделке</t>
  </si>
  <si>
    <t>Обделка стен и свода с учетом ликвидации камер разворота</t>
  </si>
  <si>
    <t>тыс.м3</t>
  </si>
  <si>
    <t>Доработка лотковой части под обратный свод с учетом камер разворота</t>
  </si>
  <si>
    <t>Бетон обратного свода (конструктивный ж/б)</t>
  </si>
  <si>
    <t>Укрепительная цементация</t>
  </si>
  <si>
    <t>Устройство пробок и ликвидация подходных</t>
  </si>
  <si>
    <t>шт</t>
  </si>
  <si>
    <t>СМР не учтенные ССР:</t>
  </si>
  <si>
    <t>Разборка ранее выполненной дефектной обделки с возведением новой</t>
  </si>
  <si>
    <t>Разработка ранее уложенного конструктивного лотка</t>
  </si>
  <si>
    <t>Черновой лоток</t>
  </si>
  <si>
    <t>Стоимость в ценах 1991 года</t>
  </si>
  <si>
    <t>тыс.руб.</t>
  </si>
  <si>
    <t xml:space="preserve">    Бассейн суточного регулирования (БСР)</t>
  </si>
  <si>
    <t>Чаша БСР</t>
  </si>
  <si>
    <t>Выемка  мягких грунтов открытая</t>
  </si>
  <si>
    <t>Выемка  скальных грунтов открытая</t>
  </si>
  <si>
    <t>Насыпь грунтов (обратная засыпка)</t>
  </si>
  <si>
    <t>Насыпь грунтов (дренаж дна БСР)</t>
  </si>
  <si>
    <t>Укладка бетона открытого</t>
  </si>
  <si>
    <t>Цементационные работы</t>
  </si>
  <si>
    <t>п. м</t>
  </si>
  <si>
    <t>Гидроизоляция дна бассейна</t>
  </si>
  <si>
    <r>
      <t>тыс. м</t>
    </r>
    <r>
      <rPr>
        <b/>
        <sz val="28"/>
        <color indexed="8"/>
        <rFont val="Calibri"/>
        <family val="2"/>
        <charset val="204"/>
      </rPr>
      <t>²</t>
    </r>
  </si>
  <si>
    <t xml:space="preserve"> -</t>
  </si>
  <si>
    <t>Монтаж механического оборудования и металлоконструкций</t>
  </si>
  <si>
    <t>т</t>
  </si>
  <si>
    <t>Ограждение стен</t>
  </si>
  <si>
    <t>Переходный участок от БСР к водоприемнику</t>
  </si>
  <si>
    <t>Выемка грунтов открытая</t>
  </si>
  <si>
    <t xml:space="preserve">Монтаж механического оборудования и металлоконструкций </t>
  </si>
  <si>
    <t>Ограждение</t>
  </si>
  <si>
    <t>Водоприемник</t>
  </si>
  <si>
    <t>Турбинные водоводы</t>
  </si>
  <si>
    <t>Поверхностный сталежелезобетонный напорный водовод</t>
  </si>
  <si>
    <t>Насыпь грунта (засыпка ПГС)</t>
  </si>
  <si>
    <t>Насыпь грунта (обратная засыпка)</t>
  </si>
  <si>
    <t xml:space="preserve"> Изготовление металлической облицовки</t>
  </si>
  <si>
    <t>Монтаж металлической облицовки</t>
  </si>
  <si>
    <t>Подходная выработка к вертикальной шахте и верхняя воротниковая штольня</t>
  </si>
  <si>
    <t>Скальная выломка</t>
  </si>
  <si>
    <t>Бетонирование обделки стен, свода и лотка</t>
  </si>
  <si>
    <t>Устройство дренажных скважин</t>
  </si>
  <si>
    <t>Шахта и камера развилки</t>
  </si>
  <si>
    <t>Организация шахтного подъема и оснащение ствола под монтаж облицовки</t>
  </si>
  <si>
    <t xml:space="preserve"> т</t>
  </si>
  <si>
    <t>Укладка подземного бетона( в т.ч. затрубного бетона)</t>
  </si>
  <si>
    <t xml:space="preserve"> Оборудование (Изготовление и приобретение специального подъемного устройства)</t>
  </si>
  <si>
    <t>Подземные водоводы                            №№ 1,2</t>
  </si>
  <si>
    <t>Доработка сечения</t>
  </si>
  <si>
    <t>Бетон  подземный</t>
  </si>
  <si>
    <t>Укладка бетона лотка, ьетон сбоек, бетон пандуса, набетонка междупутья и д.р.</t>
  </si>
  <si>
    <t>в том числе оборудование</t>
  </si>
  <si>
    <t>Здание ГЭС-1 с отводящим каналом, СТК и станционная площадка</t>
  </si>
  <si>
    <t>Обезопашивание откосов над выходными порталами турбинных водоводов</t>
  </si>
  <si>
    <t>Выемка мягких грунтов открытая</t>
  </si>
  <si>
    <t>Выемка скальных грунтов открытая</t>
  </si>
  <si>
    <t>Подпорная стенка над зданием ГЭС</t>
  </si>
  <si>
    <t xml:space="preserve">Укладка бетона открытого </t>
  </si>
  <si>
    <t>Укладка бетона берегоукрепительной стенки</t>
  </si>
  <si>
    <t>Монтаж крана машзала</t>
  </si>
  <si>
    <t>Монтаж генераторного оборудования</t>
  </si>
  <si>
    <t>Монтаж турбинного оборудования</t>
  </si>
  <si>
    <t>Монтаж шаровых затворов</t>
  </si>
  <si>
    <t>Монтаж вспомогательного оборудования</t>
  </si>
  <si>
    <t>Монтаж  электротехнического оборудования, в т.ч. силовых трансформаторов, оборудования вторичной коммутации, релейной защиты и АСУ ТП, линий и сооружений связи</t>
  </si>
  <si>
    <t>Шатер машинного зала (стр.куб.)</t>
  </si>
  <si>
    <t>СТК (стр.куб.)</t>
  </si>
  <si>
    <t>Насыпь грунтов - станционная площадка</t>
  </si>
  <si>
    <t>Устройство противофильтрационной завесы в перемычке котлована здания ГЭС-1</t>
  </si>
  <si>
    <t>КРУЭ</t>
  </si>
  <si>
    <t>Корпус КРУЭ-330 кВ (стр. куб.)</t>
  </si>
  <si>
    <t>Монтаж электротехнического оборудования</t>
  </si>
  <si>
    <t>Установка контрольно-измерительной аппаратуры</t>
  </si>
  <si>
    <t>Cтоимость работ по Главе 3
Объекты подсобного производственного назначения</t>
  </si>
  <si>
    <t>Cтоимость работ по Главе 4
Объекты энергетического хозяйства</t>
  </si>
  <si>
    <t>Стоимость работ по Главе 5
Объекты транспортного хозяйства</t>
  </si>
  <si>
    <t>Стоимость работ по Главе 6
Сети и сооружения водопровода и канализации</t>
  </si>
  <si>
    <t>Стоимость работ по Главе 7
Благоустройство и озеленение территории</t>
  </si>
  <si>
    <t>Стоимость работ по Главе 8
Временные здания и сооружения</t>
  </si>
  <si>
    <t>Итого по Главам 1-8</t>
  </si>
  <si>
    <t>Итого по Главам 1-9</t>
  </si>
  <si>
    <t>Непредвиденные работы и затраты</t>
  </si>
  <si>
    <t>ВСЕГО в ценах 1991 года</t>
  </si>
  <si>
    <t>Заказчик:</t>
  </si>
  <si>
    <t>Генподрядчик:</t>
  </si>
  <si>
    <t>________________________________</t>
  </si>
  <si>
    <t xml:space="preserve">Календарный график завершения строительства Зарамагской ГЭС-1 </t>
  </si>
  <si>
    <t>Общая стоимость по Главе 1
Подготовка территории строительства</t>
  </si>
  <si>
    <t>Общая стоимость по Главе 2
Основные объекты строительства</t>
  </si>
  <si>
    <t>в том числе СМР</t>
  </si>
  <si>
    <t>Наименование глав, основных сооружений и затрат</t>
  </si>
  <si>
    <t>Стоимость по Главе 9
Прочи работы и затраты, в т.ч.:</t>
  </si>
  <si>
    <t>Зимнее удорожание, снегоборьюа, затраты на содержание действующих дорог</t>
  </si>
  <si>
    <t>Генеральный директор</t>
  </si>
  <si>
    <t>ОАО "Зарамагские ГЭС"</t>
  </si>
  <si>
    <t>Тотров В.Б.</t>
  </si>
  <si>
    <t>ОАО "ЭСКО ЕЭС"</t>
  </si>
  <si>
    <t>Минаев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</si>
</sst>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;[Red]0.00"/>
    <numFmt numFmtId="165" formatCode="#,##0_р_."/>
    <numFmt numFmtId="166" formatCode="#,##0.00_р_."/>
    <numFmt numFmtId="167" formatCode="0.0"/>
    <numFmt numFmtId="168" formatCode="#,##0.000"/>
    <numFmt numFmtId="169" formatCode="0.000"/>
    <numFmt numFmtId="170" formatCode="#,##0.00_ ;\-#,##0.00\ "/>
    <numFmt numFmtId="171" formatCode="#,##0.0_ ;\-#,##0.0\ "/>
    <numFmt numFmtId="172" formatCode="#,##0.000000_р_."/>
  </numFmts>
  <fonts count="5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0"/>
      <name val="Arial Cyr"/>
      <charset val="204"/>
    </font>
    <font>
      <b/>
      <sz val="4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40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36"/>
      <name val="Times New Roman"/>
      <family val="1"/>
      <charset val="204"/>
    </font>
    <font>
      <sz val="20"/>
      <color indexed="8"/>
      <name val="Calibri"/>
      <family val="2"/>
      <charset val="204"/>
    </font>
    <font>
      <sz val="26"/>
      <color indexed="8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26"/>
      <name val="Calibri"/>
      <family val="2"/>
      <charset val="204"/>
    </font>
    <font>
      <b/>
      <sz val="36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b/>
      <u/>
      <sz val="36"/>
      <color indexed="8"/>
      <name val="Times New Roman"/>
      <family val="1"/>
      <charset val="204"/>
    </font>
    <font>
      <b/>
      <sz val="36"/>
      <color indexed="8"/>
      <name val="Calibri"/>
      <family val="2"/>
      <charset val="204"/>
    </font>
    <font>
      <sz val="12"/>
      <name val="Calibri"/>
      <family val="2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Calibri"/>
      <family val="2"/>
      <charset val="204"/>
    </font>
    <font>
      <b/>
      <sz val="28"/>
      <color indexed="8"/>
      <name val="Calibri"/>
      <family val="2"/>
      <charset val="204"/>
    </font>
    <font>
      <b/>
      <sz val="28"/>
      <color theme="1"/>
      <name val="Times New Roman"/>
      <family val="1"/>
      <charset val="204"/>
    </font>
    <font>
      <sz val="28"/>
      <name val="Arial Rounded MT Bold"/>
      <family val="2"/>
    </font>
    <font>
      <sz val="28"/>
      <name val="Times New Roman"/>
      <family val="1"/>
      <charset val="204"/>
    </font>
    <font>
      <b/>
      <sz val="22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36"/>
      <name val="Calibri"/>
      <family val="2"/>
      <charset val="204"/>
    </font>
    <font>
      <b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28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8"/>
      <color indexed="1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4"/>
      <color indexed="10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b/>
      <sz val="26"/>
      <color indexed="8"/>
      <name val="Calibri"/>
      <family val="2"/>
      <charset val="204"/>
    </font>
    <font>
      <b/>
      <u/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4" fillId="0" borderId="0" applyFont="0" applyFill="0" applyBorder="0" applyAlignment="0" applyProtection="0"/>
    <xf numFmtId="0" fontId="8" fillId="0" borderId="0"/>
    <xf numFmtId="0" fontId="1" fillId="0" borderId="0"/>
  </cellStyleXfs>
  <cellXfs count="7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" fontId="4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0" xfId="0" applyFo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0" fillId="0" borderId="0" xfId="0" applyFill="1"/>
    <xf numFmtId="0" fontId="10" fillId="0" borderId="0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7" fillId="0" borderId="0" xfId="0" applyFont="1" applyBorder="1"/>
    <xf numFmtId="0" fontId="17" fillId="0" borderId="10" xfId="0" applyFont="1" applyBorder="1"/>
    <xf numFmtId="0" fontId="18" fillId="0" borderId="14" xfId="0" applyFont="1" applyBorder="1"/>
    <xf numFmtId="165" fontId="16" fillId="0" borderId="8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6" fontId="16" fillId="3" borderId="14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/>
    <xf numFmtId="166" fontId="21" fillId="0" borderId="0" xfId="0" applyNumberFormat="1" applyFont="1" applyFill="1"/>
    <xf numFmtId="166" fontId="21" fillId="0" borderId="0" xfId="0" applyNumberFormat="1" applyFont="1"/>
    <xf numFmtId="166" fontId="14" fillId="3" borderId="14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/>
    <xf numFmtId="166" fontId="24" fillId="0" borderId="0" xfId="0" applyNumberFormat="1" applyFont="1"/>
    <xf numFmtId="0" fontId="25" fillId="0" borderId="0" xfId="0" applyFont="1" applyFill="1"/>
    <xf numFmtId="2" fontId="11" fillId="0" borderId="17" xfId="2" applyNumberFormat="1" applyFont="1" applyFill="1" applyBorder="1" applyAlignment="1">
      <alignment horizontal="center" vertical="center" wrapText="1"/>
    </xf>
    <xf numFmtId="4" fontId="11" fillId="0" borderId="18" xfId="2" applyNumberFormat="1" applyFont="1" applyFill="1" applyBorder="1" applyAlignment="1">
      <alignment horizontal="center" vertical="center"/>
    </xf>
    <xf numFmtId="3" fontId="26" fillId="0" borderId="19" xfId="3" applyNumberFormat="1" applyFont="1" applyFill="1" applyBorder="1" applyAlignment="1">
      <alignment horizontal="center" vertical="top"/>
    </xf>
    <xf numFmtId="3" fontId="26" fillId="0" borderId="20" xfId="3" applyNumberFormat="1" applyFont="1" applyFill="1" applyBorder="1" applyAlignment="1">
      <alignment horizontal="center" vertical="top"/>
    </xf>
    <xf numFmtId="3" fontId="26" fillId="0" borderId="21" xfId="3" applyNumberFormat="1" applyFont="1" applyFill="1" applyBorder="1" applyAlignment="1">
      <alignment horizontal="center" vertical="top"/>
    </xf>
    <xf numFmtId="3" fontId="26" fillId="0" borderId="22" xfId="3" applyNumberFormat="1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center"/>
    </xf>
    <xf numFmtId="2" fontId="26" fillId="0" borderId="24" xfId="3" applyNumberFormat="1" applyFont="1" applyFill="1" applyBorder="1" applyAlignment="1">
      <alignment horizontal="center" vertical="top"/>
    </xf>
    <xf numFmtId="2" fontId="26" fillId="0" borderId="21" xfId="3" applyNumberFormat="1" applyFont="1" applyFill="1" applyBorder="1" applyAlignment="1">
      <alignment horizontal="center" vertical="top"/>
    </xf>
    <xf numFmtId="2" fontId="26" fillId="0" borderId="22" xfId="3" applyNumberFormat="1" applyFont="1" applyFill="1" applyBorder="1" applyAlignment="1">
      <alignment horizontal="center" vertical="top"/>
    </xf>
    <xf numFmtId="4" fontId="29" fillId="0" borderId="0" xfId="0" applyNumberFormat="1" applyFont="1" applyFill="1"/>
    <xf numFmtId="0" fontId="4" fillId="0" borderId="29" xfId="0" applyFont="1" applyFill="1" applyBorder="1" applyAlignment="1">
      <alignment horizontal="center" vertical="center"/>
    </xf>
    <xf numFmtId="4" fontId="11" fillId="0" borderId="29" xfId="2" applyNumberFormat="1" applyFont="1" applyFill="1" applyBorder="1" applyAlignment="1">
      <alignment horizontal="center" vertical="center"/>
    </xf>
    <xf numFmtId="3" fontId="26" fillId="0" borderId="15" xfId="3" applyNumberFormat="1" applyFont="1" applyFill="1" applyBorder="1" applyAlignment="1">
      <alignment horizontal="center" vertical="top"/>
    </xf>
    <xf numFmtId="3" fontId="26" fillId="0" borderId="30" xfId="3" applyNumberFormat="1" applyFont="1" applyFill="1" applyBorder="1" applyAlignment="1">
      <alignment horizontal="center" vertical="top"/>
    </xf>
    <xf numFmtId="3" fontId="26" fillId="0" borderId="31" xfId="3" applyNumberFormat="1" applyFont="1" applyFill="1" applyBorder="1" applyAlignment="1">
      <alignment horizontal="center" vertical="top"/>
    </xf>
    <xf numFmtId="3" fontId="26" fillId="0" borderId="32" xfId="3" applyNumberFormat="1" applyFont="1" applyFill="1" applyBorder="1" applyAlignment="1">
      <alignment horizontal="center" vertical="top"/>
    </xf>
    <xf numFmtId="2" fontId="11" fillId="0" borderId="29" xfId="2" applyNumberFormat="1" applyFont="1" applyFill="1" applyBorder="1" applyAlignment="1">
      <alignment horizontal="center" vertical="center" wrapText="1"/>
    </xf>
    <xf numFmtId="2" fontId="26" fillId="0" borderId="31" xfId="3" applyNumberFormat="1" applyFont="1" applyFill="1" applyBorder="1" applyAlignment="1">
      <alignment horizontal="center" vertical="top"/>
    </xf>
    <xf numFmtId="2" fontId="26" fillId="0" borderId="32" xfId="3" applyNumberFormat="1" applyFont="1" applyFill="1" applyBorder="1" applyAlignment="1">
      <alignment horizontal="center" vertical="top"/>
    </xf>
    <xf numFmtId="2" fontId="11" fillId="0" borderId="34" xfId="2" applyNumberFormat="1" applyFont="1" applyFill="1" applyBorder="1" applyAlignment="1">
      <alignment horizontal="center" vertical="center" wrapText="1"/>
    </xf>
    <xf numFmtId="4" fontId="11" fillId="0" borderId="29" xfId="2" applyNumberFormat="1" applyFont="1" applyFill="1" applyBorder="1" applyAlignment="1">
      <alignment horizontal="center" vertical="center" wrapText="1"/>
    </xf>
    <xf numFmtId="3" fontId="26" fillId="0" borderId="17" xfId="3" applyNumberFormat="1" applyFont="1" applyFill="1" applyBorder="1" applyAlignment="1">
      <alignment horizontal="center" vertical="top"/>
    </xf>
    <xf numFmtId="2" fontId="11" fillId="0" borderId="29" xfId="2" applyNumberFormat="1" applyFont="1" applyFill="1" applyBorder="1" applyAlignment="1">
      <alignment horizontal="center" vertical="center"/>
    </xf>
    <xf numFmtId="2" fontId="27" fillId="0" borderId="31" xfId="3" applyNumberFormat="1" applyFont="1" applyFill="1" applyBorder="1" applyAlignment="1">
      <alignment horizontal="center" vertical="top"/>
    </xf>
    <xf numFmtId="2" fontId="27" fillId="0" borderId="17" xfId="3" applyNumberFormat="1" applyFont="1" applyFill="1" applyBorder="1" applyAlignment="1">
      <alignment horizontal="center" vertical="top"/>
    </xf>
    <xf numFmtId="2" fontId="27" fillId="0" borderId="31" xfId="3" applyNumberFormat="1" applyFont="1" applyFill="1" applyBorder="1" applyAlignment="1">
      <alignment horizontal="center"/>
    </xf>
    <xf numFmtId="2" fontId="27" fillId="0" borderId="17" xfId="3" applyNumberFormat="1" applyFont="1" applyFill="1" applyBorder="1" applyAlignment="1">
      <alignment horizontal="center"/>
    </xf>
    <xf numFmtId="3" fontId="26" fillId="0" borderId="35" xfId="3" applyNumberFormat="1" applyFont="1" applyFill="1" applyBorder="1" applyAlignment="1">
      <alignment horizontal="center" vertical="top"/>
    </xf>
    <xf numFmtId="3" fontId="26" fillId="0" borderId="36" xfId="3" applyNumberFormat="1" applyFont="1" applyFill="1" applyBorder="1" applyAlignment="1">
      <alignment horizontal="center" vertical="top"/>
    </xf>
    <xf numFmtId="3" fontId="26" fillId="0" borderId="37" xfId="3" applyNumberFormat="1" applyFont="1" applyFill="1" applyBorder="1" applyAlignment="1">
      <alignment horizontal="center" vertical="top"/>
    </xf>
    <xf numFmtId="3" fontId="26" fillId="0" borderId="38" xfId="3" applyNumberFormat="1" applyFont="1" applyFill="1" applyBorder="1" applyAlignment="1">
      <alignment horizontal="center" vertical="top"/>
    </xf>
    <xf numFmtId="2" fontId="11" fillId="0" borderId="18" xfId="2" applyNumberFormat="1" applyFont="1" applyFill="1" applyBorder="1" applyAlignment="1">
      <alignment horizontal="center" vertical="center" wrapText="1"/>
    </xf>
    <xf numFmtId="2" fontId="26" fillId="0" borderId="37" xfId="3" applyNumberFormat="1" applyFont="1" applyFill="1" applyBorder="1" applyAlignment="1">
      <alignment horizontal="center" vertical="top"/>
    </xf>
    <xf numFmtId="2" fontId="26" fillId="0" borderId="38" xfId="3" applyNumberFormat="1" applyFont="1" applyFill="1" applyBorder="1" applyAlignment="1">
      <alignment horizontal="center" vertical="top"/>
    </xf>
    <xf numFmtId="2" fontId="11" fillId="0" borderId="18" xfId="2" applyNumberFormat="1" applyFont="1" applyFill="1" applyBorder="1" applyAlignment="1">
      <alignment horizontal="center" vertical="center"/>
    </xf>
    <xf numFmtId="3" fontId="11" fillId="0" borderId="29" xfId="2" applyNumberFormat="1" applyFont="1" applyFill="1" applyBorder="1" applyAlignment="1">
      <alignment horizontal="center" vertical="center" wrapText="1"/>
    </xf>
    <xf numFmtId="1" fontId="11" fillId="0" borderId="29" xfId="2" applyNumberFormat="1" applyFont="1" applyFill="1" applyBorder="1" applyAlignment="1">
      <alignment horizontal="center" vertical="center"/>
    </xf>
    <xf numFmtId="166" fontId="30" fillId="0" borderId="0" xfId="0" applyNumberFormat="1" applyFont="1" applyFill="1"/>
    <xf numFmtId="1" fontId="11" fillId="0" borderId="18" xfId="2" applyNumberFormat="1" applyFont="1" applyFill="1" applyBorder="1" applyAlignment="1">
      <alignment horizontal="center" vertical="center" wrapText="1"/>
    </xf>
    <xf numFmtId="2" fontId="27" fillId="0" borderId="37" xfId="3" applyNumberFormat="1" applyFont="1" applyFill="1" applyBorder="1" applyAlignment="1">
      <alignment horizontal="center"/>
    </xf>
    <xf numFmtId="2" fontId="27" fillId="0" borderId="38" xfId="3" applyNumberFormat="1" applyFont="1" applyFill="1" applyBorder="1" applyAlignment="1">
      <alignment horizontal="center"/>
    </xf>
    <xf numFmtId="2" fontId="27" fillId="0" borderId="32" xfId="3" applyNumberFormat="1" applyFont="1" applyFill="1" applyBorder="1" applyAlignment="1">
      <alignment horizontal="center"/>
    </xf>
    <xf numFmtId="2" fontId="27" fillId="0" borderId="32" xfId="3" applyNumberFormat="1" applyFont="1" applyFill="1" applyBorder="1" applyAlignment="1">
      <alignment horizontal="center" vertical="top"/>
    </xf>
    <xf numFmtId="3" fontId="26" fillId="0" borderId="27" xfId="3" applyNumberFormat="1" applyFont="1" applyFill="1" applyBorder="1" applyAlignment="1">
      <alignment horizontal="center" vertical="top"/>
    </xf>
    <xf numFmtId="3" fontId="26" fillId="0" borderId="40" xfId="3" applyNumberFormat="1" applyFont="1" applyFill="1" applyBorder="1" applyAlignment="1">
      <alignment horizontal="center" vertical="top"/>
    </xf>
    <xf numFmtId="3" fontId="11" fillId="0" borderId="18" xfId="2" applyNumberFormat="1" applyFont="1" applyFill="1" applyBorder="1" applyAlignment="1">
      <alignment horizontal="center" vertical="center"/>
    </xf>
    <xf numFmtId="3" fontId="27" fillId="0" borderId="37" xfId="3" applyNumberFormat="1" applyFont="1" applyFill="1" applyBorder="1" applyAlignment="1">
      <alignment horizontal="center" vertical="top"/>
    </xf>
    <xf numFmtId="3" fontId="27" fillId="0" borderId="41" xfId="3" applyNumberFormat="1" applyFont="1" applyFill="1" applyBorder="1" applyAlignment="1">
      <alignment horizontal="center" vertical="top"/>
    </xf>
    <xf numFmtId="3" fontId="27" fillId="0" borderId="42" xfId="3" applyNumberFormat="1" applyFont="1" applyFill="1" applyBorder="1" applyAlignment="1">
      <alignment horizontal="center" vertical="top"/>
    </xf>
    <xf numFmtId="3" fontId="27" fillId="0" borderId="34" xfId="3" applyNumberFormat="1" applyFont="1" applyFill="1" applyBorder="1" applyAlignment="1">
      <alignment horizontal="center" vertical="top"/>
    </xf>
    <xf numFmtId="3" fontId="27" fillId="0" borderId="36" xfId="3" applyNumberFormat="1" applyFont="1" applyFill="1" applyBorder="1" applyAlignment="1">
      <alignment horizontal="center" vertical="top"/>
    </xf>
    <xf numFmtId="3" fontId="27" fillId="0" borderId="40" xfId="3" applyNumberFormat="1" applyFont="1" applyFill="1" applyBorder="1" applyAlignment="1">
      <alignment horizontal="center" vertical="top"/>
    </xf>
    <xf numFmtId="2" fontId="32" fillId="0" borderId="0" xfId="0" applyNumberFormat="1" applyFont="1" applyFill="1"/>
    <xf numFmtId="3" fontId="27" fillId="0" borderId="27" xfId="3" applyNumberFormat="1" applyFont="1" applyFill="1" applyBorder="1" applyAlignment="1">
      <alignment horizontal="center" vertical="top"/>
    </xf>
    <xf numFmtId="2" fontId="33" fillId="0" borderId="29" xfId="2" applyNumberFormat="1" applyFont="1" applyFill="1" applyBorder="1" applyAlignment="1">
      <alignment horizontal="center" vertical="center" wrapText="1"/>
    </xf>
    <xf numFmtId="2" fontId="27" fillId="0" borderId="37" xfId="3" applyNumberFormat="1" applyFont="1" applyFill="1" applyBorder="1" applyAlignment="1">
      <alignment horizontal="center" vertical="top"/>
    </xf>
    <xf numFmtId="2" fontId="27" fillId="0" borderId="40" xfId="3" applyNumberFormat="1" applyFont="1" applyFill="1" applyBorder="1" applyAlignment="1">
      <alignment horizontal="center" vertical="top"/>
    </xf>
    <xf numFmtId="2" fontId="27" fillId="0" borderId="41" xfId="3" applyNumberFormat="1" applyFont="1" applyFill="1" applyBorder="1" applyAlignment="1">
      <alignment horizontal="center" vertical="top"/>
    </xf>
    <xf numFmtId="2" fontId="27" fillId="0" borderId="42" xfId="3" applyNumberFormat="1" applyFont="1" applyFill="1" applyBorder="1" applyAlignment="1">
      <alignment horizontal="center" vertical="top"/>
    </xf>
    <xf numFmtId="2" fontId="27" fillId="0" borderId="34" xfId="3" applyNumberFormat="1" applyFont="1" applyFill="1" applyBorder="1" applyAlignment="1">
      <alignment horizontal="center" vertical="top"/>
    </xf>
    <xf numFmtId="168" fontId="34" fillId="0" borderId="27" xfId="3" applyNumberFormat="1" applyFont="1" applyFill="1" applyBorder="1" applyAlignment="1">
      <alignment horizontal="center" vertical="top"/>
    </xf>
    <xf numFmtId="168" fontId="34" fillId="0" borderId="43" xfId="3" applyNumberFormat="1" applyFont="1" applyFill="1" applyBorder="1" applyAlignment="1">
      <alignment horizontal="center" vertical="top"/>
    </xf>
    <xf numFmtId="168" fontId="34" fillId="0" borderId="42" xfId="3" applyNumberFormat="1" applyFont="1" applyFill="1" applyBorder="1" applyAlignment="1">
      <alignment horizontal="center" vertical="top"/>
    </xf>
    <xf numFmtId="168" fontId="34" fillId="0" borderId="34" xfId="3" applyNumberFormat="1" applyFont="1" applyFill="1" applyBorder="1" applyAlignment="1">
      <alignment horizontal="center" vertical="top"/>
    </xf>
    <xf numFmtId="2" fontId="31" fillId="0" borderId="29" xfId="3" applyNumberFormat="1" applyFont="1" applyFill="1" applyBorder="1" applyAlignment="1">
      <alignment horizontal="center" vertical="center"/>
    </xf>
    <xf numFmtId="2" fontId="34" fillId="0" borderId="42" xfId="3" applyNumberFormat="1" applyFont="1" applyFill="1" applyBorder="1" applyAlignment="1">
      <alignment horizontal="center" vertical="top"/>
    </xf>
    <xf numFmtId="2" fontId="34" fillId="0" borderId="34" xfId="3" applyNumberFormat="1" applyFont="1" applyFill="1" applyBorder="1" applyAlignment="1">
      <alignment horizontal="center" vertical="top"/>
    </xf>
    <xf numFmtId="0" fontId="11" fillId="0" borderId="17" xfId="2" applyNumberFormat="1" applyFont="1" applyFill="1" applyBorder="1" applyAlignment="1" applyProtection="1">
      <alignment horizontal="center" vertical="center"/>
    </xf>
    <xf numFmtId="4" fontId="11" fillId="0" borderId="18" xfId="2" applyNumberFormat="1" applyFont="1" applyFill="1" applyBorder="1" applyAlignment="1" applyProtection="1">
      <alignment horizontal="center" vertical="center" wrapText="1"/>
    </xf>
    <xf numFmtId="3" fontId="27" fillId="0" borderId="25" xfId="3" applyNumberFormat="1" applyFont="1" applyFill="1" applyBorder="1" applyAlignment="1">
      <alignment horizontal="center" vertical="top"/>
    </xf>
    <xf numFmtId="3" fontId="27" fillId="0" borderId="21" xfId="3" applyNumberFormat="1" applyFont="1" applyFill="1" applyBorder="1" applyAlignment="1">
      <alignment horizontal="center" vertical="top"/>
    </xf>
    <xf numFmtId="3" fontId="27" fillId="0" borderId="24" xfId="3" applyNumberFormat="1" applyFont="1" applyFill="1" applyBorder="1" applyAlignment="1">
      <alignment horizontal="center" vertical="top"/>
    </xf>
    <xf numFmtId="3" fontId="27" fillId="0" borderId="0" xfId="3" applyNumberFormat="1" applyFont="1" applyFill="1" applyBorder="1" applyAlignment="1">
      <alignment horizontal="center" vertical="top"/>
    </xf>
    <xf numFmtId="2" fontId="33" fillId="0" borderId="18" xfId="2" applyNumberFormat="1" applyFont="1" applyFill="1" applyBorder="1" applyAlignment="1">
      <alignment horizontal="center" vertical="center"/>
    </xf>
    <xf numFmtId="2" fontId="27" fillId="0" borderId="24" xfId="3" applyNumberFormat="1" applyFont="1" applyFill="1" applyBorder="1" applyAlignment="1">
      <alignment horizontal="center" vertical="top"/>
    </xf>
    <xf numFmtId="2" fontId="27" fillId="0" borderId="0" xfId="3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 wrapText="1"/>
    </xf>
    <xf numFmtId="0" fontId="11" fillId="0" borderId="34" xfId="2" applyNumberFormat="1" applyFont="1" applyFill="1" applyBorder="1" applyAlignment="1" applyProtection="1">
      <alignment horizontal="center" vertical="center"/>
    </xf>
    <xf numFmtId="4" fontId="11" fillId="0" borderId="29" xfId="2" applyNumberFormat="1" applyFont="1" applyFill="1" applyBorder="1" applyAlignment="1" applyProtection="1">
      <alignment horizontal="center" vertical="center" wrapText="1"/>
    </xf>
    <xf numFmtId="3" fontId="27" fillId="0" borderId="35" xfId="3" applyNumberFormat="1" applyFont="1" applyFill="1" applyBorder="1" applyAlignment="1">
      <alignment horizontal="center" vertical="top"/>
    </xf>
    <xf numFmtId="2" fontId="33" fillId="0" borderId="29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27" fillId="0" borderId="38" xfId="3" applyNumberFormat="1" applyFont="1" applyFill="1" applyBorder="1" applyAlignment="1">
      <alignment horizontal="center" vertical="top"/>
    </xf>
    <xf numFmtId="4" fontId="11" fillId="0" borderId="45" xfId="2" applyNumberFormat="1" applyFont="1" applyFill="1" applyBorder="1" applyAlignment="1" applyProtection="1">
      <alignment horizontal="center" vertical="center" wrapText="1"/>
    </xf>
    <xf numFmtId="2" fontId="35" fillId="0" borderId="29" xfId="3" applyNumberFormat="1" applyFont="1" applyBorder="1" applyAlignment="1">
      <alignment horizontal="center" vertical="center"/>
    </xf>
    <xf numFmtId="0" fontId="11" fillId="0" borderId="41" xfId="2" applyNumberFormat="1" applyFont="1" applyFill="1" applyBorder="1" applyAlignment="1" applyProtection="1">
      <alignment horizontal="center" vertical="center"/>
    </xf>
    <xf numFmtId="4" fontId="11" fillId="0" borderId="48" xfId="2" applyNumberFormat="1" applyFont="1" applyFill="1" applyBorder="1" applyAlignment="1" applyProtection="1">
      <alignment horizontal="center" vertical="center" wrapText="1"/>
    </xf>
    <xf numFmtId="3" fontId="27" fillId="0" borderId="46" xfId="3" applyNumberFormat="1" applyFont="1" applyFill="1" applyBorder="1" applyAlignment="1">
      <alignment horizontal="center" vertical="top"/>
    </xf>
    <xf numFmtId="3" fontId="27" fillId="0" borderId="49" xfId="3" applyNumberFormat="1" applyFont="1" applyFill="1" applyBorder="1" applyAlignment="1">
      <alignment horizontal="center" vertical="top"/>
    </xf>
    <xf numFmtId="3" fontId="26" fillId="0" borderId="37" xfId="3" applyNumberFormat="1" applyFont="1" applyFill="1" applyBorder="1" applyAlignment="1">
      <alignment horizontal="center" vertical="center"/>
    </xf>
    <xf numFmtId="3" fontId="26" fillId="0" borderId="41" xfId="3" applyNumberFormat="1" applyFont="1" applyFill="1" applyBorder="1" applyAlignment="1">
      <alignment horizontal="center" vertical="center"/>
    </xf>
    <xf numFmtId="2" fontId="35" fillId="0" borderId="48" xfId="3" applyNumberFormat="1" applyFont="1" applyBorder="1" applyAlignment="1">
      <alignment horizontal="center" vertical="center"/>
    </xf>
    <xf numFmtId="2" fontId="26" fillId="0" borderId="37" xfId="3" applyNumberFormat="1" applyFont="1" applyFill="1" applyBorder="1" applyAlignment="1">
      <alignment horizontal="center" vertical="center"/>
    </xf>
    <xf numFmtId="2" fontId="26" fillId="0" borderId="41" xfId="3" applyNumberFormat="1" applyFont="1" applyFill="1" applyBorder="1" applyAlignment="1">
      <alignment horizontal="center" vertical="center"/>
    </xf>
    <xf numFmtId="166" fontId="11" fillId="2" borderId="14" xfId="3" applyNumberFormat="1" applyFont="1" applyFill="1" applyBorder="1" applyAlignment="1">
      <alignment horizontal="center" vertical="center"/>
    </xf>
    <xf numFmtId="166" fontId="11" fillId="2" borderId="14" xfId="0" applyNumberFormat="1" applyFont="1" applyFill="1" applyBorder="1" applyAlignment="1">
      <alignment horizontal="center" vertical="center"/>
    </xf>
    <xf numFmtId="2" fontId="11" fillId="2" borderId="14" xfId="0" applyNumberFormat="1" applyFont="1" applyFill="1" applyBorder="1"/>
    <xf numFmtId="166" fontId="11" fillId="2" borderId="14" xfId="0" applyNumberFormat="1" applyFont="1" applyFill="1" applyBorder="1"/>
    <xf numFmtId="166" fontId="20" fillId="2" borderId="0" xfId="0" applyNumberFormat="1" applyFont="1" applyFill="1"/>
    <xf numFmtId="0" fontId="11" fillId="0" borderId="23" xfId="0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 wrapText="1"/>
    </xf>
    <xf numFmtId="167" fontId="22" fillId="0" borderId="52" xfId="0" applyNumberFormat="1" applyFont="1" applyFill="1" applyBorder="1" applyAlignment="1">
      <alignment horizontal="center" vertical="top"/>
    </xf>
    <xf numFmtId="167" fontId="22" fillId="0" borderId="53" xfId="0" applyNumberFormat="1" applyFont="1" applyFill="1" applyBorder="1" applyAlignment="1">
      <alignment horizontal="center" vertical="top"/>
    </xf>
    <xf numFmtId="167" fontId="36" fillId="0" borderId="53" xfId="0" applyNumberFormat="1" applyFont="1" applyFill="1" applyBorder="1" applyAlignment="1">
      <alignment horizontal="center" vertical="top"/>
    </xf>
    <xf numFmtId="0" fontId="36" fillId="0" borderId="53" xfId="0" applyFont="1" applyFill="1" applyBorder="1"/>
    <xf numFmtId="0" fontId="36" fillId="0" borderId="53" xfId="0" applyFont="1" applyFill="1" applyBorder="1" applyAlignment="1">
      <alignment horizontal="center" vertical="top"/>
    </xf>
    <xf numFmtId="0" fontId="36" fillId="0" borderId="54" xfId="0" applyFont="1" applyFill="1" applyBorder="1"/>
    <xf numFmtId="0" fontId="37" fillId="0" borderId="52" xfId="0" applyFont="1" applyFill="1" applyBorder="1"/>
    <xf numFmtId="0" fontId="37" fillId="0" borderId="53" xfId="0" applyFont="1" applyFill="1" applyBorder="1"/>
    <xf numFmtId="0" fontId="37" fillId="0" borderId="54" xfId="0" applyFont="1" applyFill="1" applyBorder="1"/>
    <xf numFmtId="2" fontId="4" fillId="0" borderId="2" xfId="0" applyNumberFormat="1" applyFont="1" applyFill="1" applyBorder="1" applyAlignment="1">
      <alignment horizontal="center" vertical="center"/>
    </xf>
    <xf numFmtId="0" fontId="36" fillId="0" borderId="20" xfId="0" applyFont="1" applyFill="1" applyBorder="1"/>
    <xf numFmtId="0" fontId="36" fillId="0" borderId="55" xfId="0" applyFont="1" applyFill="1" applyBorder="1"/>
    <xf numFmtId="0" fontId="36" fillId="0" borderId="4" xfId="0" applyFont="1" applyFill="1" applyBorder="1"/>
    <xf numFmtId="0" fontId="38" fillId="0" borderId="26" xfId="0" applyFont="1" applyFill="1" applyBorder="1"/>
    <xf numFmtId="0" fontId="11" fillId="0" borderId="8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 wrapText="1"/>
    </xf>
    <xf numFmtId="167" fontId="37" fillId="0" borderId="15" xfId="0" applyNumberFormat="1" applyFont="1" applyFill="1" applyBorder="1" applyAlignment="1">
      <alignment horizontal="center" vertical="top"/>
    </xf>
    <xf numFmtId="167" fontId="37" fillId="0" borderId="30" xfId="0" applyNumberFormat="1" applyFont="1" applyFill="1" applyBorder="1" applyAlignment="1">
      <alignment horizontal="center" vertical="top"/>
    </xf>
    <xf numFmtId="167" fontId="36" fillId="0" borderId="30" xfId="0" applyNumberFormat="1" applyFont="1" applyFill="1" applyBorder="1" applyAlignment="1">
      <alignment vertical="top"/>
    </xf>
    <xf numFmtId="0" fontId="36" fillId="0" borderId="30" xfId="0" applyFont="1" applyFill="1" applyBorder="1" applyAlignment="1">
      <alignment vertical="top"/>
    </xf>
    <xf numFmtId="0" fontId="36" fillId="0" borderId="30" xfId="0" applyFont="1" applyFill="1" applyBorder="1"/>
    <xf numFmtId="0" fontId="36" fillId="0" borderId="16" xfId="0" applyFont="1" applyFill="1" applyBorder="1"/>
    <xf numFmtId="2" fontId="4" fillId="0" borderId="18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/>
    <xf numFmtId="0" fontId="37" fillId="0" borderId="30" xfId="0" applyFont="1" applyFill="1" applyBorder="1"/>
    <xf numFmtId="0" fontId="37" fillId="0" borderId="16" xfId="0" applyFont="1" applyFill="1" applyBorder="1"/>
    <xf numFmtId="2" fontId="4" fillId="0" borderId="1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36" fillId="0" borderId="43" xfId="0" applyFont="1" applyFill="1" applyBorder="1"/>
    <xf numFmtId="0" fontId="36" fillId="0" borderId="42" xfId="0" applyFont="1" applyFill="1" applyBorder="1"/>
    <xf numFmtId="0" fontId="36" fillId="0" borderId="28" xfId="0" applyFont="1" applyFill="1" applyBorder="1"/>
    <xf numFmtId="2" fontId="39" fillId="0" borderId="29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/>
    <xf numFmtId="0" fontId="37" fillId="0" borderId="27" xfId="0" applyFont="1" applyFill="1" applyBorder="1"/>
    <xf numFmtId="0" fontId="37" fillId="0" borderId="43" xfId="0" applyFont="1" applyFill="1" applyBorder="1"/>
    <xf numFmtId="167" fontId="37" fillId="0" borderId="43" xfId="0" applyNumberFormat="1" applyFont="1" applyFill="1" applyBorder="1" applyAlignment="1">
      <alignment horizontal="center" vertical="top"/>
    </xf>
    <xf numFmtId="0" fontId="37" fillId="0" borderId="28" xfId="0" applyFont="1" applyFill="1" applyBorder="1"/>
    <xf numFmtId="0" fontId="37" fillId="0" borderId="43" xfId="0" applyFont="1" applyFill="1" applyBorder="1" applyAlignment="1">
      <alignment horizontal="center" vertical="top"/>
    </xf>
    <xf numFmtId="167" fontId="37" fillId="0" borderId="43" xfId="0" applyNumberFormat="1" applyFont="1" applyFill="1" applyBorder="1" applyAlignment="1">
      <alignment horizontal="left" vertical="top"/>
    </xf>
    <xf numFmtId="167" fontId="36" fillId="0" borderId="43" xfId="0" applyNumberFormat="1" applyFont="1" applyFill="1" applyBorder="1" applyAlignment="1">
      <alignment horizontal="center" vertical="top"/>
    </xf>
    <xf numFmtId="167" fontId="36" fillId="0" borderId="43" xfId="0" applyNumberFormat="1" applyFont="1" applyFill="1" applyBorder="1" applyAlignment="1">
      <alignment horizontal="left" vertical="top"/>
    </xf>
    <xf numFmtId="2" fontId="36" fillId="0" borderId="43" xfId="0" applyNumberFormat="1" applyFont="1" applyFill="1" applyBorder="1" applyAlignment="1">
      <alignment horizontal="center" vertical="top"/>
    </xf>
    <xf numFmtId="2" fontId="36" fillId="0" borderId="43" xfId="0" applyNumberFormat="1" applyFont="1" applyFill="1" applyBorder="1"/>
    <xf numFmtId="0" fontId="11" fillId="0" borderId="29" xfId="0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 wrapText="1"/>
    </xf>
    <xf numFmtId="167" fontId="40" fillId="0" borderId="27" xfId="0" applyNumberFormat="1" applyFont="1" applyFill="1" applyBorder="1" applyAlignment="1">
      <alignment horizontal="center" vertical="top"/>
    </xf>
    <xf numFmtId="167" fontId="40" fillId="0" borderId="43" xfId="0" applyNumberFormat="1" applyFont="1" applyFill="1" applyBorder="1" applyAlignment="1">
      <alignment horizontal="center" vertical="top"/>
    </xf>
    <xf numFmtId="167" fontId="40" fillId="0" borderId="28" xfId="0" applyNumberFormat="1" applyFont="1" applyFill="1" applyBorder="1" applyAlignment="1">
      <alignment horizontal="center" vertical="top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/>
    </xf>
    <xf numFmtId="2" fontId="34" fillId="0" borderId="43" xfId="0" applyNumberFormat="1" applyFont="1" applyFill="1" applyBorder="1" applyAlignment="1">
      <alignment horizontal="center" vertical="top"/>
    </xf>
    <xf numFmtId="167" fontId="34" fillId="0" borderId="43" xfId="0" applyNumberFormat="1" applyFont="1" applyFill="1" applyBorder="1" applyAlignment="1">
      <alignment horizontal="center" vertical="top"/>
    </xf>
    <xf numFmtId="167" fontId="34" fillId="0" borderId="43" xfId="0" applyNumberFormat="1" applyFont="1" applyFill="1" applyBorder="1" applyAlignment="1">
      <alignment horizontal="left" vertical="top"/>
    </xf>
    <xf numFmtId="0" fontId="34" fillId="0" borderId="43" xfId="0" applyFont="1" applyFill="1" applyBorder="1"/>
    <xf numFmtId="0" fontId="34" fillId="0" borderId="28" xfId="0" applyFont="1" applyFill="1" applyBorder="1"/>
    <xf numFmtId="167" fontId="34" fillId="0" borderId="42" xfId="0" applyNumberFormat="1" applyFont="1" applyFill="1" applyBorder="1" applyAlignment="1">
      <alignment horizontal="center" vertical="top"/>
    </xf>
    <xf numFmtId="167" fontId="34" fillId="0" borderId="28" xfId="0" applyNumberFormat="1" applyFont="1" applyFill="1" applyBorder="1" applyAlignment="1">
      <alignment horizontal="center" vertical="top"/>
    </xf>
    <xf numFmtId="2" fontId="10" fillId="0" borderId="29" xfId="0" applyNumberFormat="1" applyFont="1" applyFill="1" applyBorder="1" applyAlignment="1">
      <alignment horizontal="center" vertical="center"/>
    </xf>
    <xf numFmtId="167" fontId="11" fillId="0" borderId="29" xfId="0" applyNumberFormat="1" applyFont="1" applyFill="1" applyBorder="1" applyAlignment="1">
      <alignment horizontal="center" vertical="center" wrapText="1"/>
    </xf>
    <xf numFmtId="0" fontId="40" fillId="0" borderId="27" xfId="0" applyFont="1" applyFill="1" applyBorder="1"/>
    <xf numFmtId="0" fontId="40" fillId="0" borderId="43" xfId="0" applyFont="1" applyFill="1" applyBorder="1"/>
    <xf numFmtId="0" fontId="40" fillId="0" borderId="28" xfId="0" applyFont="1" applyFill="1" applyBorder="1"/>
    <xf numFmtId="167" fontId="11" fillId="0" borderId="29" xfId="0" applyNumberFormat="1" applyFont="1" applyFill="1" applyBorder="1" applyAlignment="1">
      <alignment horizontal="center" vertical="center"/>
    </xf>
    <xf numFmtId="0" fontId="34" fillId="0" borderId="27" xfId="0" applyFont="1" applyFill="1" applyBorder="1"/>
    <xf numFmtId="0" fontId="34" fillId="0" borderId="42" xfId="0" applyFont="1" applyFill="1" applyBorder="1"/>
    <xf numFmtId="167" fontId="10" fillId="0" borderId="29" xfId="0" applyNumberFormat="1" applyFont="1" applyFill="1" applyBorder="1" applyAlignment="1">
      <alignment horizontal="center" vertical="center"/>
    </xf>
    <xf numFmtId="0" fontId="25" fillId="0" borderId="0" xfId="0" applyFont="1"/>
    <xf numFmtId="0" fontId="4" fillId="0" borderId="45" xfId="0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0" fontId="36" fillId="0" borderId="35" xfId="0" applyFont="1" applyFill="1" applyBorder="1"/>
    <xf numFmtId="0" fontId="36" fillId="0" borderId="36" xfId="0" applyFont="1" applyFill="1" applyBorder="1"/>
    <xf numFmtId="0" fontId="36" fillId="0" borderId="39" xfId="0" applyFont="1" applyFill="1" applyBorder="1"/>
    <xf numFmtId="2" fontId="4" fillId="0" borderId="45" xfId="0" applyNumberFormat="1" applyFont="1" applyFill="1" applyBorder="1" applyAlignment="1">
      <alignment horizontal="center" vertical="center"/>
    </xf>
    <xf numFmtId="167" fontId="4" fillId="0" borderId="45" xfId="0" applyNumberFormat="1" applyFont="1" applyFill="1" applyBorder="1" applyAlignment="1">
      <alignment horizontal="center" vertical="center"/>
    </xf>
    <xf numFmtId="0" fontId="36" fillId="0" borderId="37" xfId="0" applyFont="1" applyFill="1" applyBorder="1"/>
    <xf numFmtId="167" fontId="39" fillId="0" borderId="45" xfId="0" applyNumberFormat="1" applyFont="1" applyFill="1" applyBorder="1" applyAlignment="1">
      <alignment horizontal="center" vertical="center"/>
    </xf>
    <xf numFmtId="2" fontId="34" fillId="0" borderId="27" xfId="0" applyNumberFormat="1" applyFont="1" applyFill="1" applyBorder="1" applyAlignment="1">
      <alignment horizontal="center" vertical="top"/>
    </xf>
    <xf numFmtId="2" fontId="34" fillId="0" borderId="58" xfId="0" applyNumberFormat="1" applyFont="1" applyFill="1" applyBorder="1" applyAlignment="1">
      <alignment horizontal="center" vertical="top"/>
    </xf>
    <xf numFmtId="2" fontId="34" fillId="0" borderId="42" xfId="0" applyNumberFormat="1" applyFont="1" applyFill="1" applyBorder="1" applyAlignment="1">
      <alignment horizontal="center" vertical="top"/>
    </xf>
    <xf numFmtId="2" fontId="34" fillId="0" borderId="58" xfId="0" applyNumberFormat="1" applyFont="1" applyFill="1" applyBorder="1" applyAlignment="1">
      <alignment horizontal="center" vertical="center"/>
    </xf>
    <xf numFmtId="0" fontId="41" fillId="0" borderId="43" xfId="0" applyFont="1" applyFill="1" applyBorder="1"/>
    <xf numFmtId="0" fontId="41" fillId="0" borderId="34" xfId="0" applyFont="1" applyFill="1" applyBorder="1"/>
    <xf numFmtId="2" fontId="4" fillId="0" borderId="43" xfId="0" applyNumberFormat="1" applyFont="1" applyFill="1" applyBorder="1" applyAlignment="1">
      <alignment horizontal="center" vertical="center"/>
    </xf>
    <xf numFmtId="0" fontId="41" fillId="0" borderId="28" xfId="0" applyFont="1" applyFill="1" applyBorder="1"/>
    <xf numFmtId="0" fontId="0" fillId="0" borderId="29" xfId="0" applyFill="1" applyBorder="1"/>
    <xf numFmtId="0" fontId="20" fillId="0" borderId="0" xfId="0" applyFont="1" applyFill="1"/>
    <xf numFmtId="0" fontId="4" fillId="0" borderId="48" xfId="0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 wrapText="1"/>
    </xf>
    <xf numFmtId="0" fontId="36" fillId="0" borderId="46" xfId="0" applyFont="1" applyFill="1" applyBorder="1"/>
    <xf numFmtId="0" fontId="36" fillId="0" borderId="49" xfId="0" applyFont="1" applyFill="1" applyBorder="1"/>
    <xf numFmtId="0" fontId="36" fillId="0" borderId="47" xfId="0" applyFont="1" applyFill="1" applyBorder="1"/>
    <xf numFmtId="2" fontId="4" fillId="0" borderId="48" xfId="0" applyNumberFormat="1" applyFont="1" applyFill="1" applyBorder="1" applyAlignment="1">
      <alignment horizontal="center" vertical="center"/>
    </xf>
    <xf numFmtId="167" fontId="4" fillId="0" borderId="48" xfId="0" applyNumberFormat="1" applyFont="1" applyFill="1" applyBorder="1" applyAlignment="1">
      <alignment horizontal="center" vertical="center"/>
    </xf>
    <xf numFmtId="0" fontId="36" fillId="0" borderId="61" xfId="0" applyFont="1" applyFill="1" applyBorder="1"/>
    <xf numFmtId="167" fontId="39" fillId="0" borderId="48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top"/>
    </xf>
    <xf numFmtId="0" fontId="36" fillId="0" borderId="58" xfId="0" applyFont="1" applyFill="1" applyBorder="1"/>
    <xf numFmtId="2" fontId="4" fillId="0" borderId="29" xfId="0" quotePrefix="1" applyNumberFormat="1" applyFont="1" applyFill="1" applyBorder="1" applyAlignment="1">
      <alignment horizontal="center" vertical="center"/>
    </xf>
    <xf numFmtId="0" fontId="36" fillId="0" borderId="34" xfId="0" applyFont="1" applyFill="1" applyBorder="1"/>
    <xf numFmtId="167" fontId="39" fillId="0" borderId="29" xfId="0" applyNumberFormat="1" applyFont="1" applyFill="1" applyBorder="1" applyAlignment="1">
      <alignment horizontal="center" vertical="center"/>
    </xf>
    <xf numFmtId="166" fontId="42" fillId="0" borderId="0" xfId="0" applyNumberFormat="1" applyFont="1"/>
    <xf numFmtId="0" fontId="37" fillId="0" borderId="42" xfId="0" applyFont="1" applyFill="1" applyBorder="1"/>
    <xf numFmtId="167" fontId="37" fillId="0" borderId="58" xfId="0" applyNumberFormat="1" applyFont="1" applyFill="1" applyBorder="1" applyAlignment="1">
      <alignment horizontal="center" vertical="top"/>
    </xf>
    <xf numFmtId="167" fontId="37" fillId="0" borderId="42" xfId="0" applyNumberFormat="1" applyFont="1" applyFill="1" applyBorder="1" applyAlignment="1">
      <alignment horizontal="center" vertical="top"/>
    </xf>
    <xf numFmtId="2" fontId="37" fillId="0" borderId="43" xfId="0" applyNumberFormat="1" applyFont="1" applyFill="1" applyBorder="1" applyAlignment="1">
      <alignment vertical="top"/>
    </xf>
    <xf numFmtId="2" fontId="36" fillId="0" borderId="42" xfId="0" applyNumberFormat="1" applyFont="1" applyFill="1" applyBorder="1" applyAlignment="1">
      <alignment vertical="top"/>
    </xf>
    <xf numFmtId="0" fontId="11" fillId="0" borderId="62" xfId="0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 wrapText="1"/>
    </xf>
    <xf numFmtId="0" fontId="40" fillId="0" borderId="58" xfId="0" applyFont="1" applyFill="1" applyBorder="1"/>
    <xf numFmtId="0" fontId="34" fillId="0" borderId="58" xfId="0" applyFont="1" applyFill="1" applyBorder="1"/>
    <xf numFmtId="0" fontId="34" fillId="0" borderId="35" xfId="0" applyFont="1" applyFill="1" applyBorder="1"/>
    <xf numFmtId="0" fontId="34" fillId="0" borderId="36" xfId="0" applyFont="1" applyFill="1" applyBorder="1"/>
    <xf numFmtId="0" fontId="34" fillId="0" borderId="40" xfId="0" applyFont="1" applyFill="1" applyBorder="1"/>
    <xf numFmtId="2" fontId="11" fillId="0" borderId="45" xfId="0" applyNumberFormat="1" applyFont="1" applyFill="1" applyBorder="1" applyAlignment="1">
      <alignment horizontal="center" vertical="center"/>
    </xf>
    <xf numFmtId="0" fontId="34" fillId="0" borderId="37" xfId="0" applyFont="1" applyFill="1" applyBorder="1"/>
    <xf numFmtId="167" fontId="34" fillId="0" borderId="43" xfId="0" applyNumberFormat="1" applyFont="1" applyFill="1" applyBorder="1" applyAlignment="1">
      <alignment horizontal="center" vertical="center"/>
    </xf>
    <xf numFmtId="0" fontId="43" fillId="0" borderId="0" xfId="0" applyFont="1" applyFill="1" applyBorder="1"/>
    <xf numFmtId="0" fontId="43" fillId="0" borderId="43" xfId="0" applyFont="1" applyFill="1" applyBorder="1"/>
    <xf numFmtId="2" fontId="11" fillId="0" borderId="34" xfId="0" applyNumberFormat="1" applyFont="1" applyFill="1" applyBorder="1" applyAlignment="1">
      <alignment horizontal="center" vertical="center"/>
    </xf>
    <xf numFmtId="0" fontId="25" fillId="0" borderId="29" xfId="0" applyFont="1" applyFill="1" applyBorder="1"/>
    <xf numFmtId="0" fontId="11" fillId="0" borderId="12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34" fillId="0" borderId="46" xfId="0" applyFont="1" applyFill="1" applyBorder="1"/>
    <xf numFmtId="0" fontId="34" fillId="0" borderId="49" xfId="0" applyFont="1" applyFill="1" applyBorder="1"/>
    <xf numFmtId="0" fontId="34" fillId="0" borderId="63" xfId="0" applyFont="1" applyFill="1" applyBorder="1"/>
    <xf numFmtId="2" fontId="11" fillId="0" borderId="48" xfId="0" applyNumberFormat="1" applyFont="1" applyFill="1" applyBorder="1" applyAlignment="1">
      <alignment horizontal="center" vertical="center"/>
    </xf>
    <xf numFmtId="0" fontId="34" fillId="0" borderId="61" xfId="0" applyFont="1" applyFill="1" applyBorder="1"/>
    <xf numFmtId="0" fontId="34" fillId="0" borderId="47" xfId="0" applyFont="1" applyFill="1" applyBorder="1"/>
    <xf numFmtId="167" fontId="10" fillId="0" borderId="48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34" fillId="0" borderId="15" xfId="0" applyFont="1" applyFill="1" applyBorder="1"/>
    <xf numFmtId="0" fontId="40" fillId="0" borderId="30" xfId="0" applyFont="1" applyFill="1" applyBorder="1"/>
    <xf numFmtId="0" fontId="40" fillId="0" borderId="33" xfId="0" applyFont="1" applyFill="1" applyBorder="1"/>
    <xf numFmtId="2" fontId="11" fillId="0" borderId="18" xfId="0" applyNumberFormat="1" applyFont="1" applyFill="1" applyBorder="1" applyAlignment="1">
      <alignment horizontal="center" vertical="center"/>
    </xf>
    <xf numFmtId="0" fontId="40" fillId="0" borderId="31" xfId="0" applyFont="1" applyFill="1" applyBorder="1"/>
    <xf numFmtId="167" fontId="40" fillId="0" borderId="30" xfId="0" applyNumberFormat="1" applyFont="1" applyFill="1" applyBorder="1" applyAlignment="1">
      <alignment horizontal="center" vertical="top"/>
    </xf>
    <xf numFmtId="0" fontId="34" fillId="0" borderId="31" xfId="0" applyFont="1" applyFill="1" applyBorder="1"/>
    <xf numFmtId="0" fontId="34" fillId="0" borderId="30" xfId="0" applyFont="1" applyFill="1" applyBorder="1"/>
    <xf numFmtId="0" fontId="34" fillId="0" borderId="33" xfId="0" applyFont="1" applyFill="1" applyBorder="1"/>
    <xf numFmtId="167" fontId="11" fillId="0" borderId="18" xfId="0" applyNumberFormat="1" applyFont="1" applyFill="1" applyBorder="1" applyAlignment="1">
      <alignment horizontal="center" vertical="center"/>
    </xf>
    <xf numFmtId="0" fontId="34" fillId="0" borderId="16" xfId="0" applyFont="1" applyFill="1" applyBorder="1"/>
    <xf numFmtId="167" fontId="10" fillId="0" borderId="18" xfId="0" applyNumberFormat="1" applyFont="1" applyFill="1" applyBorder="1" applyAlignment="1">
      <alignment horizontal="center" vertical="center"/>
    </xf>
    <xf numFmtId="0" fontId="42" fillId="0" borderId="0" xfId="0" applyFont="1"/>
    <xf numFmtId="167" fontId="40" fillId="0" borderId="58" xfId="0" applyNumberFormat="1" applyFont="1" applyFill="1" applyBorder="1" applyAlignment="1">
      <alignment horizontal="center" vertical="top"/>
    </xf>
    <xf numFmtId="167" fontId="40" fillId="0" borderId="42" xfId="0" applyNumberFormat="1" applyFont="1" applyFill="1" applyBorder="1" applyAlignment="1">
      <alignment horizontal="center" vertical="top"/>
    </xf>
    <xf numFmtId="2" fontId="40" fillId="0" borderId="43" xfId="0" applyNumberFormat="1" applyFont="1" applyFill="1" applyBorder="1" applyAlignment="1">
      <alignment vertical="top"/>
    </xf>
    <xf numFmtId="2" fontId="40" fillId="0" borderId="42" xfId="0" applyNumberFormat="1" applyFont="1" applyFill="1" applyBorder="1" applyAlignment="1">
      <alignment vertical="top"/>
    </xf>
    <xf numFmtId="0" fontId="11" fillId="0" borderId="18" xfId="0" applyFont="1" applyFill="1" applyBorder="1" applyAlignment="1">
      <alignment horizontal="center" vertical="center" wrapText="1"/>
    </xf>
    <xf numFmtId="0" fontId="34" fillId="0" borderId="27" xfId="0" applyFont="1" applyBorder="1"/>
    <xf numFmtId="0" fontId="34" fillId="0" borderId="43" xfId="0" applyFont="1" applyBorder="1"/>
    <xf numFmtId="0" fontId="34" fillId="0" borderId="58" xfId="0" applyFont="1" applyBorder="1"/>
    <xf numFmtId="167" fontId="11" fillId="0" borderId="29" xfId="0" applyNumberFormat="1" applyFont="1" applyBorder="1" applyAlignment="1">
      <alignment horizontal="center" vertical="center"/>
    </xf>
    <xf numFmtId="0" fontId="34" fillId="0" borderId="42" xfId="0" applyFont="1" applyBorder="1"/>
    <xf numFmtId="2" fontId="11" fillId="0" borderId="29" xfId="0" applyNumberFormat="1" applyFont="1" applyBorder="1" applyAlignment="1">
      <alignment horizontal="center" vertical="center"/>
    </xf>
    <xf numFmtId="167" fontId="11" fillId="0" borderId="45" xfId="0" applyNumberFormat="1" applyFont="1" applyFill="1" applyBorder="1" applyAlignment="1">
      <alignment horizontal="center" vertical="center"/>
    </xf>
    <xf numFmtId="167" fontId="11" fillId="0" borderId="41" xfId="0" applyNumberFormat="1" applyFont="1" applyFill="1" applyBorder="1" applyAlignment="1">
      <alignment horizontal="center" vertical="center"/>
    </xf>
    <xf numFmtId="0" fontId="43" fillId="0" borderId="28" xfId="0" applyFont="1" applyFill="1" applyBorder="1"/>
    <xf numFmtId="0" fontId="4" fillId="0" borderId="12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36" fillId="0" borderId="46" xfId="0" applyFont="1" applyBorder="1"/>
    <xf numFmtId="0" fontId="36" fillId="0" borderId="49" xfId="0" applyFont="1" applyBorder="1"/>
    <xf numFmtId="0" fontId="36" fillId="0" borderId="36" xfId="0" applyFont="1" applyBorder="1"/>
    <xf numFmtId="0" fontId="36" fillId="0" borderId="40" xfId="0" applyFont="1" applyBorder="1"/>
    <xf numFmtId="2" fontId="4" fillId="0" borderId="45" xfId="0" applyNumberFormat="1" applyFont="1" applyBorder="1" applyAlignment="1">
      <alignment horizontal="center" vertical="center"/>
    </xf>
    <xf numFmtId="0" fontId="36" fillId="0" borderId="37" xfId="0" applyFont="1" applyBorder="1"/>
    <xf numFmtId="167" fontId="4" fillId="0" borderId="45" xfId="0" applyNumberFormat="1" applyFont="1" applyBorder="1" applyAlignment="1">
      <alignment horizontal="center" vertical="center"/>
    </xf>
    <xf numFmtId="0" fontId="36" fillId="0" borderId="63" xfId="0" applyFont="1" applyFill="1" applyBorder="1"/>
    <xf numFmtId="166" fontId="11" fillId="2" borderId="5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70" fontId="10" fillId="0" borderId="23" xfId="1" applyNumberFormat="1" applyFont="1" applyFill="1" applyBorder="1" applyAlignment="1">
      <alignment horizontal="center" vertical="center" wrapText="1"/>
    </xf>
    <xf numFmtId="170" fontId="28" fillId="0" borderId="52" xfId="1" applyNumberFormat="1" applyFont="1" applyFill="1" applyBorder="1" applyAlignment="1">
      <alignment horizontal="center" vertical="center" wrapText="1"/>
    </xf>
    <xf numFmtId="170" fontId="28" fillId="0" borderId="53" xfId="1" applyNumberFormat="1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70" fontId="10" fillId="0" borderId="35" xfId="1" applyNumberFormat="1" applyFont="1" applyFill="1" applyBorder="1" applyAlignment="1">
      <alignment horizontal="center" vertical="center" wrapText="1"/>
    </xf>
    <xf numFmtId="170" fontId="10" fillId="0" borderId="36" xfId="1" applyNumberFormat="1" applyFont="1" applyFill="1" applyBorder="1" applyAlignment="1">
      <alignment horizontal="center" vertical="center" wrapText="1"/>
    </xf>
    <xf numFmtId="2" fontId="34" fillId="0" borderId="28" xfId="0" applyNumberFormat="1" applyFont="1" applyFill="1" applyBorder="1" applyAlignment="1">
      <alignment horizontal="center"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43" xfId="0" applyNumberFormat="1" applyFont="1" applyFill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2" fontId="11" fillId="0" borderId="43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66" fontId="16" fillId="0" borderId="0" xfId="0" applyNumberFormat="1" applyFont="1"/>
    <xf numFmtId="167" fontId="34" fillId="0" borderId="27" xfId="0" applyNumberFormat="1" applyFont="1" applyFill="1" applyBorder="1" applyAlignment="1">
      <alignment horizontal="center" vertical="center"/>
    </xf>
    <xf numFmtId="167" fontId="34" fillId="0" borderId="42" xfId="0" applyNumberFormat="1" applyFont="1" applyFill="1" applyBorder="1" applyAlignment="1">
      <alignment horizontal="center" vertical="center"/>
    </xf>
    <xf numFmtId="167" fontId="11" fillId="0" borderId="42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166" fontId="45" fillId="0" borderId="0" xfId="0" applyNumberFormat="1" applyFont="1"/>
    <xf numFmtId="171" fontId="10" fillId="0" borderId="29" xfId="1" applyNumberFormat="1" applyFont="1" applyFill="1" applyBorder="1" applyAlignment="1">
      <alignment horizontal="center" vertical="center" wrapText="1"/>
    </xf>
    <xf numFmtId="2" fontId="34" fillId="0" borderId="36" xfId="0" applyNumberFormat="1" applyFont="1" applyFill="1" applyBorder="1" applyAlignment="1">
      <alignment horizontal="center" vertical="center"/>
    </xf>
    <xf numFmtId="2" fontId="34" fillId="0" borderId="40" xfId="0" applyNumberFormat="1" applyFont="1" applyFill="1" applyBorder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2" fontId="34" fillId="0" borderId="37" xfId="0" applyNumberFormat="1" applyFont="1" applyFill="1" applyBorder="1" applyAlignment="1">
      <alignment horizontal="center" vertical="center"/>
    </xf>
    <xf numFmtId="167" fontId="34" fillId="0" borderId="37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" fontId="11" fillId="0" borderId="37" xfId="0" applyNumberFormat="1" applyFont="1" applyFill="1" applyBorder="1" applyAlignment="1">
      <alignment horizontal="center" vertical="center"/>
    </xf>
    <xf numFmtId="2" fontId="11" fillId="0" borderId="36" xfId="0" applyNumberFormat="1" applyFont="1" applyFill="1" applyBorder="1" applyAlignment="1">
      <alignment horizontal="center" vertical="center"/>
    </xf>
    <xf numFmtId="167" fontId="11" fillId="0" borderId="37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2" fontId="10" fillId="0" borderId="45" xfId="0" applyNumberFormat="1" applyFont="1" applyFill="1" applyBorder="1" applyAlignment="1">
      <alignment horizontal="center" vertical="center"/>
    </xf>
    <xf numFmtId="171" fontId="11" fillId="0" borderId="48" xfId="0" applyNumberFormat="1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167" fontId="11" fillId="0" borderId="48" xfId="0" applyNumberFormat="1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169" fontId="46" fillId="0" borderId="49" xfId="0" applyNumberFormat="1" applyFont="1" applyFill="1" applyBorder="1" applyAlignment="1">
      <alignment horizontal="center" vertical="center"/>
    </xf>
    <xf numFmtId="2" fontId="46" fillId="0" borderId="49" xfId="0" applyNumberFormat="1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169" fontId="11" fillId="0" borderId="61" xfId="0" applyNumberFormat="1" applyFont="1" applyFill="1" applyBorder="1" applyAlignment="1">
      <alignment horizontal="center" vertical="center"/>
    </xf>
    <xf numFmtId="169" fontId="11" fillId="0" borderId="49" xfId="0" applyNumberFormat="1" applyFont="1" applyFill="1" applyBorder="1" applyAlignment="1">
      <alignment horizontal="center" vertical="center"/>
    </xf>
    <xf numFmtId="2" fontId="11" fillId="0" borderId="49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69" fontId="46" fillId="0" borderId="30" xfId="0" applyNumberFormat="1" applyFont="1" applyFill="1" applyBorder="1" applyAlignment="1">
      <alignment horizontal="center" vertical="center"/>
    </xf>
    <xf numFmtId="169" fontId="46" fillId="0" borderId="33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69" fontId="46" fillId="0" borderId="31" xfId="0" applyNumberFormat="1" applyFont="1" applyFill="1" applyBorder="1" applyAlignment="1">
      <alignment horizontal="center" vertical="center"/>
    </xf>
    <xf numFmtId="2" fontId="46" fillId="0" borderId="30" xfId="0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169" fontId="11" fillId="0" borderId="31" xfId="0" applyNumberFormat="1" applyFont="1" applyFill="1" applyBorder="1" applyAlignment="1">
      <alignment horizontal="center" vertical="center"/>
    </xf>
    <xf numFmtId="169" fontId="11" fillId="0" borderId="30" xfId="0" applyNumberFormat="1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69" fontId="46" fillId="0" borderId="43" xfId="0" applyNumberFormat="1" applyFont="1" applyFill="1" applyBorder="1" applyAlignment="1">
      <alignment horizontal="center" vertical="center"/>
    </xf>
    <xf numFmtId="169" fontId="46" fillId="0" borderId="58" xfId="0" applyNumberFormat="1" applyFont="1" applyFill="1" applyBorder="1" applyAlignment="1">
      <alignment horizontal="center" vertical="center"/>
    </xf>
    <xf numFmtId="169" fontId="46" fillId="0" borderId="42" xfId="0" applyNumberFormat="1" applyFont="1" applyFill="1" applyBorder="1" applyAlignment="1">
      <alignment horizontal="center" vertical="center"/>
    </xf>
    <xf numFmtId="2" fontId="46" fillId="0" borderId="43" xfId="0" applyNumberFormat="1" applyFont="1" applyFill="1" applyBorder="1" applyAlignment="1">
      <alignment horizontal="center" vertical="center"/>
    </xf>
    <xf numFmtId="169" fontId="11" fillId="0" borderId="42" xfId="0" applyNumberFormat="1" applyFont="1" applyFill="1" applyBorder="1" applyAlignment="1">
      <alignment horizontal="center" vertical="center"/>
    </xf>
    <xf numFmtId="169" fontId="11" fillId="0" borderId="43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169" fontId="46" fillId="0" borderId="66" xfId="0" applyNumberFormat="1" applyFont="1" applyFill="1" applyBorder="1" applyAlignment="1">
      <alignment horizontal="center" vertical="center"/>
    </xf>
    <xf numFmtId="169" fontId="46" fillId="0" borderId="67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69" fontId="46" fillId="0" borderId="68" xfId="0" applyNumberFormat="1" applyFont="1" applyFill="1" applyBorder="1" applyAlignment="1">
      <alignment horizontal="center" vertical="center"/>
    </xf>
    <xf numFmtId="2" fontId="46" fillId="0" borderId="66" xfId="0" applyNumberFormat="1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169" fontId="11" fillId="0" borderId="68" xfId="0" applyNumberFormat="1" applyFont="1" applyFill="1" applyBorder="1" applyAlignment="1">
      <alignment horizontal="center" vertical="center"/>
    </xf>
    <xf numFmtId="169" fontId="11" fillId="0" borderId="66" xfId="0" applyNumberFormat="1" applyFont="1" applyFill="1" applyBorder="1" applyAlignment="1">
      <alignment horizontal="center" vertical="center"/>
    </xf>
    <xf numFmtId="2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169" fontId="46" fillId="0" borderId="20" xfId="0" applyNumberFormat="1" applyFont="1" applyFill="1" applyBorder="1" applyAlignment="1">
      <alignment horizontal="center" vertical="center"/>
    </xf>
    <xf numFmtId="169" fontId="46" fillId="0" borderId="55" xfId="0" applyNumberFormat="1" applyFont="1" applyFill="1" applyBorder="1" applyAlignment="1">
      <alignment horizontal="center" vertical="center"/>
    </xf>
    <xf numFmtId="169" fontId="11" fillId="0" borderId="69" xfId="0" applyNumberFormat="1" applyFont="1" applyFill="1" applyBorder="1" applyAlignment="1">
      <alignment horizontal="center" vertical="center"/>
    </xf>
    <xf numFmtId="169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169" fontId="46" fillId="0" borderId="36" xfId="0" applyNumberFormat="1" applyFont="1" applyFill="1" applyBorder="1" applyAlignment="1">
      <alignment horizontal="center" vertical="center"/>
    </xf>
    <xf numFmtId="169" fontId="46" fillId="0" borderId="37" xfId="0" applyNumberFormat="1" applyFont="1" applyFill="1" applyBorder="1" applyAlignment="1">
      <alignment horizontal="center" vertical="center"/>
    </xf>
    <xf numFmtId="169" fontId="46" fillId="0" borderId="40" xfId="0" applyNumberFormat="1" applyFont="1" applyFill="1" applyBorder="1" applyAlignment="1">
      <alignment horizontal="center" vertical="center"/>
    </xf>
    <xf numFmtId="169" fontId="11" fillId="0" borderId="37" xfId="0" applyNumberFormat="1" applyFont="1" applyFill="1" applyBorder="1" applyAlignment="1">
      <alignment horizontal="center" vertical="center"/>
    </xf>
    <xf numFmtId="169" fontId="11" fillId="0" borderId="36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2" fontId="40" fillId="0" borderId="36" xfId="0" applyNumberFormat="1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167" fontId="11" fillId="0" borderId="43" xfId="0" applyNumberFormat="1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2" fontId="11" fillId="0" borderId="52" xfId="0" applyNumberFormat="1" applyFont="1" applyFill="1" applyBorder="1" applyAlignment="1">
      <alignment horizontal="center" vertical="center"/>
    </xf>
    <xf numFmtId="2" fontId="11" fillId="0" borderId="53" xfId="0" applyNumberFormat="1" applyFont="1" applyFill="1" applyBorder="1" applyAlignment="1">
      <alignment horizontal="center" vertical="center"/>
    </xf>
    <xf numFmtId="2" fontId="34" fillId="0" borderId="53" xfId="0" applyNumberFormat="1" applyFont="1" applyFill="1" applyBorder="1" applyAlignment="1">
      <alignment horizontal="center" vertical="center"/>
    </xf>
    <xf numFmtId="167" fontId="34" fillId="0" borderId="53" xfId="0" applyNumberFormat="1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34" fillId="0" borderId="30" xfId="0" applyNumberFormat="1" applyFont="1" applyFill="1" applyBorder="1" applyAlignment="1">
      <alignment horizontal="center" vertical="center"/>
    </xf>
    <xf numFmtId="167" fontId="34" fillId="0" borderId="33" xfId="0" applyNumberFormat="1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166" fontId="30" fillId="2" borderId="0" xfId="0" applyNumberFormat="1" applyFont="1" applyFill="1"/>
    <xf numFmtId="166" fontId="11" fillId="2" borderId="2" xfId="0" applyNumberFormat="1" applyFont="1" applyFill="1" applyBorder="1" applyAlignment="1">
      <alignment horizontal="center" vertical="center"/>
    </xf>
    <xf numFmtId="166" fontId="11" fillId="2" borderId="4" xfId="0" applyNumberFormat="1" applyFont="1" applyFill="1" applyBorder="1"/>
    <xf numFmtId="166" fontId="4" fillId="0" borderId="50" xfId="0" applyNumberFormat="1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/>
    </xf>
    <xf numFmtId="166" fontId="11" fillId="0" borderId="62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166" fontId="11" fillId="0" borderId="53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/>
    <xf numFmtId="166" fontId="11" fillId="0" borderId="31" xfId="0" applyNumberFormat="1" applyFont="1" applyFill="1" applyBorder="1" applyAlignment="1">
      <alignment horizontal="center" vertical="center"/>
    </xf>
    <xf numFmtId="166" fontId="11" fillId="0" borderId="54" xfId="0" applyNumberFormat="1" applyFont="1" applyFill="1" applyBorder="1" applyAlignment="1">
      <alignment horizontal="center" vertical="center"/>
    </xf>
    <xf numFmtId="166" fontId="11" fillId="0" borderId="72" xfId="0" applyNumberFormat="1" applyFont="1" applyFill="1" applyBorder="1"/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33" xfId="0" applyNumberFormat="1" applyFont="1" applyFill="1" applyBorder="1" applyAlignment="1">
      <alignment horizontal="center" vertical="center"/>
    </xf>
    <xf numFmtId="166" fontId="11" fillId="0" borderId="50" xfId="0" applyNumberFormat="1" applyFont="1" applyFill="1" applyBorder="1"/>
    <xf numFmtId="172" fontId="11" fillId="0" borderId="51" xfId="0" applyNumberFormat="1" applyFont="1" applyFill="1" applyBorder="1"/>
    <xf numFmtId="167" fontId="36" fillId="0" borderId="30" xfId="0" applyNumberFormat="1" applyFont="1" applyFill="1" applyBorder="1" applyAlignment="1">
      <alignment horizontal="center" vertical="top"/>
    </xf>
    <xf numFmtId="0" fontId="36" fillId="0" borderId="15" xfId="0" applyFont="1" applyFill="1" applyBorder="1"/>
    <xf numFmtId="2" fontId="39" fillId="0" borderId="18" xfId="0" applyNumberFormat="1" applyFont="1" applyFill="1" applyBorder="1" applyAlignment="1">
      <alignment horizontal="center" vertical="center"/>
    </xf>
    <xf numFmtId="0" fontId="36" fillId="0" borderId="31" xfId="0" applyFont="1" applyFill="1" applyBorder="1"/>
    <xf numFmtId="0" fontId="36" fillId="0" borderId="33" xfId="0" applyFont="1" applyFill="1" applyBorder="1"/>
    <xf numFmtId="0" fontId="39" fillId="0" borderId="18" xfId="0" applyFont="1" applyFill="1" applyBorder="1"/>
    <xf numFmtId="0" fontId="39" fillId="0" borderId="29" xfId="0" applyFont="1" applyFill="1" applyBorder="1"/>
    <xf numFmtId="0" fontId="11" fillId="0" borderId="64" xfId="0" applyFont="1" applyFill="1" applyBorder="1" applyAlignment="1">
      <alignment horizontal="center" vertical="center"/>
    </xf>
    <xf numFmtId="167" fontId="40" fillId="0" borderId="36" xfId="0" applyNumberFormat="1" applyFont="1" applyFill="1" applyBorder="1" applyAlignment="1">
      <alignment horizontal="center" vertical="top"/>
    </xf>
    <xf numFmtId="167" fontId="40" fillId="0" borderId="37" xfId="0" applyNumberFormat="1" applyFont="1" applyFill="1" applyBorder="1" applyAlignment="1">
      <alignment horizontal="center" vertical="top"/>
    </xf>
    <xf numFmtId="167" fontId="40" fillId="0" borderId="35" xfId="0" applyNumberFormat="1" applyFont="1" applyFill="1" applyBorder="1" applyAlignment="1">
      <alignment horizontal="center" vertical="top"/>
    </xf>
    <xf numFmtId="2" fontId="34" fillId="0" borderId="36" xfId="0" applyNumberFormat="1" applyFont="1" applyFill="1" applyBorder="1" applyAlignment="1">
      <alignment horizontal="center" vertical="top"/>
    </xf>
    <xf numFmtId="2" fontId="34" fillId="0" borderId="39" xfId="0" applyNumberFormat="1" applyFont="1" applyFill="1" applyBorder="1" applyAlignment="1">
      <alignment horizontal="center" vertical="top"/>
    </xf>
    <xf numFmtId="2" fontId="11" fillId="0" borderId="45" xfId="0" quotePrefix="1" applyNumberFormat="1" applyFont="1" applyFill="1" applyBorder="1" applyAlignment="1">
      <alignment horizontal="center" vertical="center"/>
    </xf>
    <xf numFmtId="2" fontId="34" fillId="0" borderId="35" xfId="0" applyNumberFormat="1" applyFont="1" applyFill="1" applyBorder="1" applyAlignment="1">
      <alignment horizontal="center" vertical="top"/>
    </xf>
    <xf numFmtId="2" fontId="34" fillId="0" borderId="36" xfId="0" applyNumberFormat="1" applyFont="1" applyFill="1" applyBorder="1" applyAlignment="1">
      <alignment vertical="top"/>
    </xf>
    <xf numFmtId="0" fontId="11" fillId="0" borderId="28" xfId="0" applyFont="1" applyFill="1" applyBorder="1" applyAlignment="1">
      <alignment vertical="center" wrapText="1"/>
    </xf>
    <xf numFmtId="2" fontId="40" fillId="0" borderId="43" xfId="0" applyNumberFormat="1" applyFont="1" applyFill="1" applyBorder="1" applyAlignment="1">
      <alignment horizontal="center" vertical="top"/>
    </xf>
    <xf numFmtId="2" fontId="34" fillId="0" borderId="43" xfId="0" applyNumberFormat="1" applyFont="1" applyFill="1" applyBorder="1"/>
    <xf numFmtId="0" fontId="10" fillId="0" borderId="29" xfId="0" applyFont="1" applyFill="1" applyBorder="1"/>
    <xf numFmtId="2" fontId="34" fillId="0" borderId="36" xfId="0" applyNumberFormat="1" applyFont="1" applyFill="1" applyBorder="1"/>
    <xf numFmtId="0" fontId="4" fillId="0" borderId="8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36" fillId="0" borderId="25" xfId="0" applyFont="1" applyFill="1" applyBorder="1"/>
    <xf numFmtId="0" fontId="36" fillId="0" borderId="21" xfId="0" applyFont="1" applyFill="1" applyBorder="1"/>
    <xf numFmtId="0" fontId="37" fillId="0" borderId="44" xfId="0" applyFont="1" applyFill="1" applyBorder="1" applyAlignment="1">
      <alignment horizontal="center" vertical="top"/>
    </xf>
    <xf numFmtId="2" fontId="36" fillId="0" borderId="44" xfId="0" applyNumberFormat="1" applyFont="1" applyFill="1" applyBorder="1" applyAlignment="1">
      <alignment horizontal="center" vertical="top"/>
    </xf>
    <xf numFmtId="0" fontId="36" fillId="0" borderId="9" xfId="0" applyFont="1" applyFill="1" applyBorder="1"/>
    <xf numFmtId="0" fontId="36" fillId="0" borderId="24" xfId="0" applyFont="1" applyFill="1" applyBorder="1"/>
    <xf numFmtId="0" fontId="36" fillId="0" borderId="44" xfId="0" applyFont="1" applyFill="1" applyBorder="1"/>
    <xf numFmtId="0" fontId="22" fillId="0" borderId="25" xfId="0" applyFont="1" applyFill="1" applyBorder="1"/>
    <xf numFmtId="0" fontId="22" fillId="0" borderId="21" xfId="0" applyFont="1" applyFill="1" applyBorder="1"/>
    <xf numFmtId="0" fontId="22" fillId="0" borderId="44" xfId="0" applyFont="1" applyFill="1" applyBorder="1" applyAlignment="1">
      <alignment horizontal="center" vertical="top"/>
    </xf>
    <xf numFmtId="2" fontId="39" fillId="0" borderId="8" xfId="0" applyNumberFormat="1" applyFont="1" applyFill="1" applyBorder="1" applyAlignment="1">
      <alignment horizontal="center" vertical="center"/>
    </xf>
    <xf numFmtId="0" fontId="22" fillId="0" borderId="44" xfId="0" applyFont="1" applyFill="1" applyBorder="1"/>
    <xf numFmtId="0" fontId="22" fillId="0" borderId="22" xfId="0" applyFont="1" applyFill="1" applyBorder="1"/>
    <xf numFmtId="0" fontId="39" fillId="0" borderId="8" xfId="0" applyFont="1" applyFill="1" applyBorder="1"/>
    <xf numFmtId="0" fontId="25" fillId="4" borderId="0" xfId="0" applyFont="1" applyFill="1"/>
    <xf numFmtId="0" fontId="4" fillId="0" borderId="5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 wrapText="1"/>
    </xf>
    <xf numFmtId="0" fontId="36" fillId="0" borderId="43" xfId="0" applyFont="1" applyFill="1" applyBorder="1" applyAlignment="1">
      <alignment vertical="center" wrapText="1"/>
    </xf>
    <xf numFmtId="0" fontId="36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36" fillId="0" borderId="30" xfId="0" applyFont="1" applyFill="1" applyBorder="1" applyAlignment="1">
      <alignment vertical="center" wrapText="1"/>
    </xf>
    <xf numFmtId="167" fontId="4" fillId="0" borderId="29" xfId="0" applyNumberFormat="1" applyFont="1" applyFill="1" applyBorder="1" applyAlignment="1">
      <alignment vertical="center" wrapText="1"/>
    </xf>
    <xf numFmtId="2" fontId="36" fillId="0" borderId="29" xfId="0" applyNumberFormat="1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vertical="center" wrapText="1"/>
    </xf>
    <xf numFmtId="0" fontId="41" fillId="0" borderId="4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/>
    </xf>
    <xf numFmtId="0" fontId="36" fillId="0" borderId="43" xfId="0" applyFont="1" applyFill="1" applyBorder="1" applyAlignment="1">
      <alignment vertical="center"/>
    </xf>
    <xf numFmtId="0" fontId="36" fillId="0" borderId="28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36" fillId="0" borderId="29" xfId="0" applyFont="1" applyFill="1" applyBorder="1" applyAlignment="1">
      <alignment vertical="center"/>
    </xf>
    <xf numFmtId="0" fontId="36" fillId="0" borderId="58" xfId="0" applyFont="1" applyFill="1" applyBorder="1" applyAlignment="1">
      <alignment vertical="center"/>
    </xf>
    <xf numFmtId="0" fontId="41" fillId="0" borderId="58" xfId="0" applyFont="1" applyFill="1" applyBorder="1" applyAlignment="1">
      <alignment vertical="center"/>
    </xf>
    <xf numFmtId="0" fontId="41" fillId="0" borderId="4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readingOrder="1"/>
    </xf>
    <xf numFmtId="0" fontId="4" fillId="0" borderId="29" xfId="0" applyFont="1" applyFill="1" applyBorder="1"/>
    <xf numFmtId="2" fontId="4" fillId="0" borderId="29" xfId="0" applyNumberFormat="1" applyFont="1" applyFill="1" applyBorder="1"/>
    <xf numFmtId="167" fontId="39" fillId="0" borderId="43" xfId="0" applyNumberFormat="1" applyFont="1" applyFill="1" applyBorder="1" applyAlignment="1">
      <alignment horizontal="center" vertical="top"/>
    </xf>
    <xf numFmtId="167" fontId="39" fillId="0" borderId="28" xfId="0" applyNumberFormat="1" applyFont="1" applyFill="1" applyBorder="1" applyAlignment="1">
      <alignment horizontal="center" vertical="top"/>
    </xf>
    <xf numFmtId="167" fontId="39" fillId="0" borderId="30" xfId="0" applyNumberFormat="1" applyFont="1" applyFill="1" applyBorder="1" applyAlignment="1">
      <alignment horizontal="center" vertical="top"/>
    </xf>
    <xf numFmtId="167" fontId="39" fillId="0" borderId="42" xfId="0" applyNumberFormat="1" applyFont="1" applyFill="1" applyBorder="1" applyAlignment="1">
      <alignment horizontal="center" vertical="top"/>
    </xf>
    <xf numFmtId="167" fontId="39" fillId="0" borderId="27" xfId="0" applyNumberFormat="1" applyFont="1" applyFill="1" applyBorder="1" applyAlignment="1">
      <alignment horizontal="center" vertical="top"/>
    </xf>
    <xf numFmtId="167" fontId="36" fillId="0" borderId="43" xfId="0" applyNumberFormat="1" applyFont="1" applyFill="1" applyBorder="1"/>
    <xf numFmtId="0" fontId="4" fillId="0" borderId="9" xfId="0" applyFont="1" applyFill="1" applyBorder="1" applyAlignment="1">
      <alignment horizontal="center" vertical="center"/>
    </xf>
    <xf numFmtId="4" fontId="50" fillId="0" borderId="0" xfId="0" applyNumberFormat="1" applyFont="1"/>
    <xf numFmtId="0" fontId="4" fillId="0" borderId="64" xfId="0" applyFont="1" applyFill="1" applyBorder="1" applyAlignment="1">
      <alignment horizontal="center" vertical="center"/>
    </xf>
    <xf numFmtId="0" fontId="4" fillId="0" borderId="45" xfId="0" applyFont="1" applyFill="1" applyBorder="1"/>
    <xf numFmtId="0" fontId="39" fillId="0" borderId="45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20" fillId="0" borderId="0" xfId="0" applyFont="1"/>
    <xf numFmtId="166" fontId="16" fillId="3" borderId="11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/>
    </xf>
    <xf numFmtId="166" fontId="16" fillId="3" borderId="13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/>
    <xf numFmtId="2" fontId="16" fillId="3" borderId="1" xfId="0" applyNumberFormat="1" applyFont="1" applyFill="1" applyBorder="1"/>
    <xf numFmtId="166" fontId="16" fillId="3" borderId="11" xfId="0" applyNumberFormat="1" applyFont="1" applyFill="1" applyBorder="1"/>
    <xf numFmtId="166" fontId="42" fillId="0" borderId="0" xfId="0" applyNumberFormat="1" applyFont="1" applyFill="1"/>
    <xf numFmtId="0" fontId="16" fillId="0" borderId="14" xfId="0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166" fontId="16" fillId="0" borderId="1" xfId="0" applyNumberFormat="1" applyFont="1" applyFill="1" applyBorder="1"/>
    <xf numFmtId="2" fontId="16" fillId="0" borderId="1" xfId="0" applyNumberFormat="1" applyFont="1" applyFill="1" applyBorder="1"/>
    <xf numFmtId="166" fontId="16" fillId="0" borderId="11" xfId="0" applyNumberFormat="1" applyFont="1" applyFill="1" applyBorder="1"/>
    <xf numFmtId="166" fontId="16" fillId="4" borderId="14" xfId="0" applyNumberFormat="1" applyFont="1" applyFill="1" applyBorder="1" applyAlignment="1">
      <alignment horizontal="center" vertical="center"/>
    </xf>
    <xf numFmtId="166" fontId="16" fillId="4" borderId="6" xfId="0" applyNumberFormat="1" applyFont="1" applyFill="1" applyBorder="1"/>
    <xf numFmtId="2" fontId="16" fillId="4" borderId="6" xfId="0" applyNumberFormat="1" applyFont="1" applyFill="1" applyBorder="1"/>
    <xf numFmtId="166" fontId="16" fillId="4" borderId="14" xfId="0" applyNumberFormat="1" applyFont="1" applyFill="1" applyBorder="1"/>
    <xf numFmtId="165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left" vertical="center"/>
    </xf>
    <xf numFmtId="166" fontId="4" fillId="0" borderId="0" xfId="0" applyNumberFormat="1" applyFont="1" applyBorder="1"/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left" vertical="center"/>
    </xf>
    <xf numFmtId="166" fontId="39" fillId="0" borderId="0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41" fillId="0" borderId="0" xfId="0" applyFont="1"/>
    <xf numFmtId="0" fontId="9" fillId="0" borderId="0" xfId="2" applyFont="1" applyFill="1" applyBorder="1" applyAlignment="1">
      <alignment horizontal="left" vertical="center"/>
    </xf>
    <xf numFmtId="0" fontId="30" fillId="0" borderId="0" xfId="0" applyFont="1"/>
    <xf numFmtId="0" fontId="0" fillId="0" borderId="0" xfId="0" applyFill="1" applyBorder="1"/>
    <xf numFmtId="0" fontId="18" fillId="0" borderId="0" xfId="0" applyFont="1" applyFill="1" applyBorder="1"/>
    <xf numFmtId="0" fontId="0" fillId="0" borderId="0" xfId="0" applyBorder="1"/>
    <xf numFmtId="164" fontId="11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Border="1" applyAlignment="1">
      <alignment vertical="center"/>
    </xf>
    <xf numFmtId="166" fontId="51" fillId="0" borderId="0" xfId="0" applyNumberFormat="1" applyFont="1" applyFill="1" applyBorder="1" applyAlignment="1">
      <alignment vertical="center"/>
    </xf>
    <xf numFmtId="166" fontId="48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center" vertical="center"/>
    </xf>
    <xf numFmtId="166" fontId="53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 vertical="center"/>
    </xf>
    <xf numFmtId="166" fontId="30" fillId="0" borderId="0" xfId="0" applyNumberFormat="1" applyFont="1" applyFill="1" applyBorder="1"/>
    <xf numFmtId="0" fontId="54" fillId="0" borderId="0" xfId="0" applyFont="1" applyFill="1" applyBorder="1"/>
    <xf numFmtId="0" fontId="39" fillId="0" borderId="0" xfId="0" applyFont="1" applyFill="1" applyBorder="1"/>
    <xf numFmtId="165" fontId="14" fillId="0" borderId="0" xfId="0" applyNumberFormat="1" applyFont="1" applyFill="1" applyBorder="1" applyAlignment="1">
      <alignment horizontal="center" vertical="center" textRotation="90" wrapText="1"/>
    </xf>
    <xf numFmtId="166" fontId="37" fillId="0" borderId="0" xfId="0" applyNumberFormat="1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/>
    </xf>
    <xf numFmtId="167" fontId="38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>
      <alignment vertical="center" wrapText="1"/>
    </xf>
    <xf numFmtId="0" fontId="41" fillId="0" borderId="0" xfId="0" applyFont="1" applyBorder="1"/>
    <xf numFmtId="0" fontId="30" fillId="0" borderId="0" xfId="0" applyFont="1" applyAlignment="1">
      <alignment horizontal="center" vertical="center"/>
    </xf>
    <xf numFmtId="0" fontId="54" fillId="0" borderId="0" xfId="0" applyFont="1"/>
    <xf numFmtId="0" fontId="45" fillId="0" borderId="0" xfId="0" applyFont="1" applyAlignment="1">
      <alignment horizontal="center" vertical="center"/>
    </xf>
    <xf numFmtId="0" fontId="39" fillId="0" borderId="0" xfId="0" applyFont="1"/>
    <xf numFmtId="170" fontId="10" fillId="0" borderId="27" xfId="1" applyNumberFormat="1" applyFont="1" applyFill="1" applyBorder="1" applyAlignment="1">
      <alignment horizontal="center" vertical="center" wrapText="1"/>
    </xf>
    <xf numFmtId="170" fontId="10" fillId="0" borderId="43" xfId="1" applyNumberFormat="1" applyFont="1" applyFill="1" applyBorder="1" applyAlignment="1">
      <alignment horizontal="center" vertical="center" wrapText="1"/>
    </xf>
    <xf numFmtId="167" fontId="4" fillId="0" borderId="29" xfId="0" applyNumberFormat="1" applyFont="1" applyFill="1" applyBorder="1" applyAlignment="1">
      <alignment horizontal="center" vertical="center"/>
    </xf>
    <xf numFmtId="0" fontId="57" fillId="0" borderId="0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Border="1" applyAlignment="1"/>
    <xf numFmtId="0" fontId="11" fillId="2" borderId="2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164" fontId="12" fillId="2" borderId="2" xfId="2" applyNumberFormat="1" applyFont="1" applyFill="1" applyBorder="1" applyAlignment="1">
      <alignment horizontal="center" vertical="center" wrapText="1"/>
    </xf>
    <xf numFmtId="164" fontId="12" fillId="2" borderId="8" xfId="2" applyNumberFormat="1" applyFont="1" applyFill="1" applyBorder="1" applyAlignment="1">
      <alignment horizontal="center" vertical="center" wrapText="1"/>
    </xf>
    <xf numFmtId="164" fontId="12" fillId="2" borderId="11" xfId="2" applyNumberFormat="1" applyFont="1" applyFill="1" applyBorder="1" applyAlignment="1">
      <alignment horizontal="center" vertical="center" wrapText="1"/>
    </xf>
    <xf numFmtId="0" fontId="12" fillId="2" borderId="5" xfId="2" applyNumberFormat="1" applyFont="1" applyFill="1" applyBorder="1" applyAlignment="1">
      <alignment horizontal="center" vertical="center" wrapText="1"/>
    </xf>
    <xf numFmtId="0" fontId="12" fillId="2" borderId="6" xfId="2" applyNumberFormat="1" applyFont="1" applyFill="1" applyBorder="1" applyAlignment="1">
      <alignment horizontal="center" vertical="center" wrapText="1"/>
    </xf>
    <xf numFmtId="0" fontId="12" fillId="2" borderId="7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9" xfId="2" applyNumberFormat="1" applyFont="1" applyFill="1" applyBorder="1" applyAlignment="1">
      <alignment horizontal="center" vertical="center" wrapText="1"/>
    </xf>
    <xf numFmtId="164" fontId="11" fillId="2" borderId="1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4" fontId="11" fillId="2" borderId="8" xfId="2" applyNumberFormat="1" applyFont="1" applyFill="1" applyBorder="1" applyAlignment="1">
      <alignment horizontal="center" vertical="center" wrapText="1"/>
    </xf>
    <xf numFmtId="164" fontId="11" fillId="2" borderId="11" xfId="2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left" vertical="center" wrapText="1"/>
    </xf>
    <xf numFmtId="0" fontId="15" fillId="0" borderId="6" xfId="2" applyFont="1" applyFill="1" applyBorder="1" applyAlignment="1">
      <alignment horizontal="center" vertical="center" wrapText="1"/>
    </xf>
    <xf numFmtId="166" fontId="19" fillId="3" borderId="5" xfId="0" applyNumberFormat="1" applyFont="1" applyFill="1" applyBorder="1" applyAlignment="1">
      <alignment horizontal="left" vertical="center" wrapText="1"/>
    </xf>
    <xf numFmtId="166" fontId="19" fillId="3" borderId="6" xfId="0" applyNumberFormat="1" applyFont="1" applyFill="1" applyBorder="1" applyAlignment="1">
      <alignment horizontal="left" vertical="center" wrapText="1"/>
    </xf>
    <xf numFmtId="166" fontId="19" fillId="3" borderId="7" xfId="0" applyNumberFormat="1" applyFont="1" applyFill="1" applyBorder="1" applyAlignment="1">
      <alignment horizontal="left" vertical="center" wrapText="1"/>
    </xf>
    <xf numFmtId="166" fontId="16" fillId="3" borderId="5" xfId="0" applyNumberFormat="1" applyFont="1" applyFill="1" applyBorder="1" applyAlignment="1">
      <alignment horizontal="center" vertical="center"/>
    </xf>
    <xf numFmtId="166" fontId="16" fillId="3" borderId="6" xfId="0" applyNumberFormat="1" applyFont="1" applyFill="1" applyBorder="1" applyAlignment="1">
      <alignment horizontal="center" vertical="center"/>
    </xf>
    <xf numFmtId="166" fontId="16" fillId="3" borderId="7" xfId="0" applyNumberFormat="1" applyFont="1" applyFill="1" applyBorder="1" applyAlignment="1">
      <alignment horizontal="center" vertical="center"/>
    </xf>
    <xf numFmtId="166" fontId="14" fillId="3" borderId="5" xfId="0" applyNumberFormat="1" applyFont="1" applyFill="1" applyBorder="1" applyAlignment="1">
      <alignment horizontal="center" vertical="center"/>
    </xf>
    <xf numFmtId="166" fontId="14" fillId="3" borderId="6" xfId="0" applyNumberFormat="1" applyFont="1" applyFill="1" applyBorder="1" applyAlignment="1">
      <alignment horizontal="center" vertical="center"/>
    </xf>
    <xf numFmtId="166" fontId="14" fillId="3" borderId="7" xfId="0" applyNumberFormat="1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left" vertical="center" wrapText="1"/>
    </xf>
    <xf numFmtId="0" fontId="11" fillId="0" borderId="16" xfId="2" applyFont="1" applyFill="1" applyBorder="1" applyAlignment="1">
      <alignment horizontal="left" vertical="center" wrapText="1"/>
    </xf>
    <xf numFmtId="0" fontId="11" fillId="0" borderId="27" xfId="2" applyFont="1" applyFill="1" applyBorder="1" applyAlignment="1">
      <alignment horizontal="left" vertical="center" wrapText="1"/>
    </xf>
    <xf numFmtId="0" fontId="11" fillId="0" borderId="28" xfId="2" applyFont="1" applyFill="1" applyBorder="1" applyAlignment="1">
      <alignment horizontal="left" vertical="center" wrapText="1"/>
    </xf>
    <xf numFmtId="2" fontId="11" fillId="0" borderId="27" xfId="2" applyNumberFormat="1" applyFont="1" applyFill="1" applyBorder="1" applyAlignment="1">
      <alignment horizontal="left" vertical="center" wrapText="1"/>
    </xf>
    <xf numFmtId="2" fontId="11" fillId="0" borderId="28" xfId="2" applyNumberFormat="1" applyFont="1" applyFill="1" applyBorder="1" applyAlignment="1">
      <alignment horizontal="left" vertical="center" wrapText="1"/>
    </xf>
    <xf numFmtId="0" fontId="11" fillId="0" borderId="27" xfId="2" applyFont="1" applyFill="1" applyBorder="1" applyAlignment="1">
      <alignment vertical="center" wrapText="1"/>
    </xf>
    <xf numFmtId="0" fontId="11" fillId="0" borderId="28" xfId="2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66" fontId="23" fillId="3" borderId="5" xfId="0" applyNumberFormat="1" applyFont="1" applyFill="1" applyBorder="1" applyAlignment="1">
      <alignment horizontal="left" vertical="center" wrapText="1"/>
    </xf>
    <xf numFmtId="166" fontId="23" fillId="3" borderId="6" xfId="0" applyNumberFormat="1" applyFont="1" applyFill="1" applyBorder="1" applyAlignment="1">
      <alignment horizontal="left" vertical="center" wrapText="1"/>
    </xf>
    <xf numFmtId="166" fontId="23" fillId="3" borderId="7" xfId="0" applyNumberFormat="1" applyFont="1" applyFill="1" applyBorder="1" applyAlignment="1">
      <alignment horizontal="left" vertical="center" wrapText="1"/>
    </xf>
    <xf numFmtId="166" fontId="7" fillId="3" borderId="5" xfId="0" applyNumberFormat="1" applyFont="1" applyFill="1" applyBorder="1" applyAlignment="1">
      <alignment horizontal="left" vertical="center" wrapText="1"/>
    </xf>
    <xf numFmtId="166" fontId="7" fillId="3" borderId="6" xfId="0" applyNumberFormat="1" applyFont="1" applyFill="1" applyBorder="1" applyAlignment="1">
      <alignment horizontal="left" vertical="center" wrapText="1"/>
    </xf>
    <xf numFmtId="166" fontId="7" fillId="3" borderId="7" xfId="0" applyNumberFormat="1" applyFont="1" applyFill="1" applyBorder="1" applyAlignment="1">
      <alignment horizontal="left" vertical="center" wrapText="1"/>
    </xf>
    <xf numFmtId="0" fontId="11" fillId="0" borderId="27" xfId="2" applyNumberFormat="1" applyFont="1" applyFill="1" applyBorder="1" applyAlignment="1" applyProtection="1">
      <alignment horizontal="left" vertical="center" wrapText="1"/>
    </xf>
    <xf numFmtId="0" fontId="11" fillId="0" borderId="28" xfId="2" applyNumberFormat="1" applyFont="1" applyFill="1" applyBorder="1" applyAlignment="1" applyProtection="1">
      <alignment horizontal="left" vertical="center" wrapText="1"/>
    </xf>
    <xf numFmtId="0" fontId="11" fillId="0" borderId="46" xfId="2" applyNumberFormat="1" applyFont="1" applyFill="1" applyBorder="1" applyAlignment="1" applyProtection="1">
      <alignment horizontal="left" vertical="center" wrapText="1"/>
    </xf>
    <xf numFmtId="0" fontId="11" fillId="0" borderId="47" xfId="2" applyNumberFormat="1" applyFont="1" applyFill="1" applyBorder="1" applyAlignment="1" applyProtection="1">
      <alignment horizontal="left" vertical="center" wrapText="1"/>
    </xf>
    <xf numFmtId="166" fontId="10" fillId="2" borderId="5" xfId="3" applyNumberFormat="1" applyFont="1" applyFill="1" applyBorder="1" applyAlignment="1">
      <alignment horizontal="center" vertical="center"/>
    </xf>
    <xf numFmtId="166" fontId="10" fillId="2" borderId="6" xfId="3" applyNumberFormat="1" applyFont="1" applyFill="1" applyBorder="1" applyAlignment="1">
      <alignment horizontal="center" vertical="center"/>
    </xf>
    <xf numFmtId="166" fontId="10" fillId="2" borderId="1" xfId="3" applyNumberFormat="1" applyFont="1" applyFill="1" applyBorder="1" applyAlignment="1">
      <alignment horizontal="center" vertical="center"/>
    </xf>
    <xf numFmtId="166" fontId="10" fillId="2" borderId="13" xfId="3" applyNumberFormat="1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/>
    </xf>
    <xf numFmtId="166" fontId="11" fillId="2" borderId="6" xfId="0" applyNumberFormat="1" applyFont="1" applyFill="1" applyBorder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 vertical="center"/>
    </xf>
    <xf numFmtId="2" fontId="16" fillId="0" borderId="27" xfId="2" applyNumberFormat="1" applyFont="1" applyFill="1" applyBorder="1" applyAlignment="1">
      <alignment horizontal="left" vertical="center" wrapText="1"/>
    </xf>
    <xf numFmtId="2" fontId="16" fillId="0" borderId="28" xfId="2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top" wrapText="1"/>
    </xf>
    <xf numFmtId="0" fontId="11" fillId="0" borderId="57" xfId="0" applyFont="1" applyFill="1" applyBorder="1" applyAlignment="1">
      <alignment horizontal="left" vertical="top" wrapText="1"/>
    </xf>
    <xf numFmtId="166" fontId="10" fillId="2" borderId="5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57" xfId="0" applyFill="1" applyBorder="1"/>
    <xf numFmtId="0" fontId="11" fillId="0" borderId="64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6" fontId="4" fillId="0" borderId="50" xfId="0" applyNumberFormat="1" applyFont="1" applyFill="1" applyBorder="1" applyAlignment="1">
      <alignment horizontal="left" vertical="center" wrapText="1"/>
    </xf>
    <xf numFmtId="166" fontId="4" fillId="0" borderId="51" xfId="0" applyNumberFormat="1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6" fontId="16" fillId="3" borderId="12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/>
    </xf>
    <xf numFmtId="166" fontId="16" fillId="3" borderId="1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166" fontId="16" fillId="0" borderId="5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/>
    </xf>
    <xf numFmtId="166" fontId="56" fillId="3" borderId="5" xfId="0" applyNumberFormat="1" applyFont="1" applyFill="1" applyBorder="1" applyAlignment="1">
      <alignment horizontal="left" vertical="center" wrapText="1"/>
    </xf>
    <xf numFmtId="166" fontId="56" fillId="3" borderId="6" xfId="0" applyNumberFormat="1" applyFont="1" applyFill="1" applyBorder="1" applyAlignment="1">
      <alignment horizontal="left" vertical="center" wrapText="1"/>
    </xf>
    <xf numFmtId="166" fontId="56" fillId="3" borderId="7" xfId="0" applyNumberFormat="1" applyFont="1" applyFill="1" applyBorder="1" applyAlignment="1">
      <alignment horizontal="left" vertical="center" wrapText="1"/>
    </xf>
    <xf numFmtId="166" fontId="55" fillId="3" borderId="5" xfId="0" applyNumberFormat="1" applyFont="1" applyFill="1" applyBorder="1" applyAlignment="1">
      <alignment horizontal="left" vertical="center" wrapText="1"/>
    </xf>
    <xf numFmtId="166" fontId="55" fillId="3" borderId="6" xfId="0" applyNumberFormat="1" applyFont="1" applyFill="1" applyBorder="1" applyAlignment="1">
      <alignment horizontal="left" vertical="center" wrapText="1"/>
    </xf>
    <xf numFmtId="166" fontId="55" fillId="3" borderId="7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 vertical="center" textRotation="90" wrapText="1"/>
    </xf>
    <xf numFmtId="166" fontId="9" fillId="4" borderId="5" xfId="0" applyNumberFormat="1" applyFont="1" applyFill="1" applyBorder="1" applyAlignment="1">
      <alignment horizontal="center" vertical="center" wrapText="1"/>
    </xf>
    <xf numFmtId="166" fontId="9" fillId="4" borderId="6" xfId="0" applyNumberFormat="1" applyFont="1" applyFill="1" applyBorder="1" applyAlignment="1">
      <alignment horizontal="center" vertical="center" wrapText="1"/>
    </xf>
    <xf numFmtId="166" fontId="9" fillId="4" borderId="7" xfId="0" applyNumberFormat="1" applyFont="1" applyFill="1" applyBorder="1" applyAlignment="1">
      <alignment horizontal="center" vertical="center" wrapText="1"/>
    </xf>
    <xf numFmtId="166" fontId="16" fillId="4" borderId="5" xfId="0" applyNumberFormat="1" applyFont="1" applyFill="1" applyBorder="1" applyAlignment="1">
      <alignment horizontal="center" vertical="center"/>
    </xf>
    <xf numFmtId="166" fontId="16" fillId="4" borderId="6" xfId="0" applyNumberFormat="1" applyFont="1" applyFill="1" applyBorder="1" applyAlignment="1">
      <alignment horizontal="center" vertical="center"/>
    </xf>
    <xf numFmtId="166" fontId="16" fillId="4" borderId="7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39</xdr:row>
      <xdr:rowOff>323850</xdr:rowOff>
    </xdr:from>
    <xdr:to>
      <xdr:col>34</xdr:col>
      <xdr:colOff>300</xdr:colOff>
      <xdr:row>39</xdr:row>
      <xdr:rowOff>323850</xdr:rowOff>
    </xdr:to>
    <xdr:cxnSp macro="">
      <xdr:nvCxnSpPr>
        <xdr:cNvPr id="2" name="Прямая соединительная линия 1"/>
        <xdr:cNvCxnSpPr/>
      </xdr:nvCxnSpPr>
      <xdr:spPr>
        <a:xfrm>
          <a:off x="42119550" y="33004125"/>
          <a:ext cx="300" cy="0"/>
        </a:xfrm>
        <a:prstGeom prst="line">
          <a:avLst/>
        </a:prstGeom>
        <a:ln w="762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39</xdr:row>
      <xdr:rowOff>323850</xdr:rowOff>
    </xdr:from>
    <xdr:to>
      <xdr:col>47</xdr:col>
      <xdr:colOff>300</xdr:colOff>
      <xdr:row>39</xdr:row>
      <xdr:rowOff>323850</xdr:rowOff>
    </xdr:to>
    <xdr:cxnSp macro="">
      <xdr:nvCxnSpPr>
        <xdr:cNvPr id="3" name="Прямая соединительная линия 2"/>
        <xdr:cNvCxnSpPr/>
      </xdr:nvCxnSpPr>
      <xdr:spPr>
        <a:xfrm>
          <a:off x="51577875" y="33004125"/>
          <a:ext cx="300" cy="0"/>
        </a:xfrm>
        <a:prstGeom prst="line">
          <a:avLst/>
        </a:prstGeom>
        <a:ln w="762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37</xdr:row>
      <xdr:rowOff>571500</xdr:rowOff>
    </xdr:from>
    <xdr:to>
      <xdr:col>16</xdr:col>
      <xdr:colOff>0</xdr:colOff>
      <xdr:row>37</xdr:row>
      <xdr:rowOff>571500</xdr:rowOff>
    </xdr:to>
    <xdr:cxnSp macro="">
      <xdr:nvCxnSpPr>
        <xdr:cNvPr id="4" name="Прямая соединительная линия 3"/>
        <xdr:cNvCxnSpPr/>
      </xdr:nvCxnSpPr>
      <xdr:spPr>
        <a:xfrm flipV="1">
          <a:off x="27470100" y="31613475"/>
          <a:ext cx="657225" cy="0"/>
        </a:xfrm>
        <a:prstGeom prst="line">
          <a:avLst/>
        </a:prstGeom>
        <a:ln w="1524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39</xdr:row>
      <xdr:rowOff>323850</xdr:rowOff>
    </xdr:from>
    <xdr:to>
      <xdr:col>34</xdr:col>
      <xdr:colOff>300</xdr:colOff>
      <xdr:row>39</xdr:row>
      <xdr:rowOff>323850</xdr:rowOff>
    </xdr:to>
    <xdr:cxnSp macro="">
      <xdr:nvCxnSpPr>
        <xdr:cNvPr id="5" name="Прямая соединительная линия 4"/>
        <xdr:cNvCxnSpPr/>
      </xdr:nvCxnSpPr>
      <xdr:spPr>
        <a:xfrm>
          <a:off x="42119550" y="33004125"/>
          <a:ext cx="300" cy="0"/>
        </a:xfrm>
        <a:prstGeom prst="line">
          <a:avLst/>
        </a:prstGeom>
        <a:ln w="762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6495</xdr:colOff>
      <xdr:row>40</xdr:row>
      <xdr:rowOff>595311</xdr:rowOff>
    </xdr:from>
    <xdr:to>
      <xdr:col>18</xdr:col>
      <xdr:colOff>650132</xdr:colOff>
      <xdr:row>40</xdr:row>
      <xdr:rowOff>595313</xdr:rowOff>
    </xdr:to>
    <xdr:cxnSp macro="">
      <xdr:nvCxnSpPr>
        <xdr:cNvPr id="6" name="Прямая соединительная линия 5"/>
        <xdr:cNvCxnSpPr/>
      </xdr:nvCxnSpPr>
      <xdr:spPr>
        <a:xfrm>
          <a:off x="26819370" y="34094736"/>
          <a:ext cx="3272537" cy="2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658091</xdr:colOff>
      <xdr:row>40</xdr:row>
      <xdr:rowOff>571500</xdr:rowOff>
    </xdr:from>
    <xdr:to>
      <xdr:col>31</xdr:col>
      <xdr:colOff>0</xdr:colOff>
      <xdr:row>40</xdr:row>
      <xdr:rowOff>571500</xdr:rowOff>
    </xdr:to>
    <xdr:cxnSp macro="">
      <xdr:nvCxnSpPr>
        <xdr:cNvPr id="7" name="Прямая соединительная линия 6"/>
        <xdr:cNvCxnSpPr/>
      </xdr:nvCxnSpPr>
      <xdr:spPr>
        <a:xfrm flipV="1">
          <a:off x="33852716" y="34070925"/>
          <a:ext cx="5256934" cy="0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</xdr:row>
      <xdr:rowOff>584771</xdr:rowOff>
    </xdr:from>
    <xdr:to>
      <xdr:col>19</xdr:col>
      <xdr:colOff>628747</xdr:colOff>
      <xdr:row>41</xdr:row>
      <xdr:rowOff>584771</xdr:rowOff>
    </xdr:to>
    <xdr:cxnSp macro="">
      <xdr:nvCxnSpPr>
        <xdr:cNvPr id="8" name="Прямая соединительная линия 7"/>
        <xdr:cNvCxnSpPr/>
      </xdr:nvCxnSpPr>
      <xdr:spPr>
        <a:xfrm flipV="1">
          <a:off x="24841200" y="34903346"/>
          <a:ext cx="5886547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19913</xdr:colOff>
      <xdr:row>41</xdr:row>
      <xdr:rowOff>584491</xdr:rowOff>
    </xdr:from>
    <xdr:to>
      <xdr:col>32</xdr:col>
      <xdr:colOff>641663</xdr:colOff>
      <xdr:row>41</xdr:row>
      <xdr:rowOff>584491</xdr:rowOff>
    </xdr:to>
    <xdr:cxnSp macro="">
      <xdr:nvCxnSpPr>
        <xdr:cNvPr id="9" name="Прямая соединительная линия 8"/>
        <xdr:cNvCxnSpPr/>
      </xdr:nvCxnSpPr>
      <xdr:spPr>
        <a:xfrm>
          <a:off x="32557313" y="34903066"/>
          <a:ext cx="7851225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6748</xdr:colOff>
      <xdr:row>42</xdr:row>
      <xdr:rowOff>481344</xdr:rowOff>
    </xdr:from>
    <xdr:to>
      <xdr:col>19</xdr:col>
      <xdr:colOff>640294</xdr:colOff>
      <xdr:row>42</xdr:row>
      <xdr:rowOff>481344</xdr:rowOff>
    </xdr:to>
    <xdr:cxnSp macro="">
      <xdr:nvCxnSpPr>
        <xdr:cNvPr id="10" name="Прямая соединительная линия 9"/>
        <xdr:cNvCxnSpPr/>
      </xdr:nvCxnSpPr>
      <xdr:spPr>
        <a:xfrm>
          <a:off x="26819623" y="35619069"/>
          <a:ext cx="3919671" cy="0"/>
        </a:xfrm>
        <a:prstGeom prst="line">
          <a:avLst/>
        </a:prstGeom>
        <a:ln w="15240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-1</xdr:colOff>
      <xdr:row>43</xdr:row>
      <xdr:rowOff>523875</xdr:rowOff>
    </xdr:from>
    <xdr:to>
      <xdr:col>18</xdr:col>
      <xdr:colOff>643636</xdr:colOff>
      <xdr:row>43</xdr:row>
      <xdr:rowOff>528638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26812874" y="36480750"/>
          <a:ext cx="3272537" cy="4763"/>
        </a:xfrm>
        <a:prstGeom prst="line">
          <a:avLst/>
        </a:prstGeom>
        <a:ln w="152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23812</xdr:colOff>
      <xdr:row>43</xdr:row>
      <xdr:rowOff>571500</xdr:rowOff>
    </xdr:from>
    <xdr:to>
      <xdr:col>31</xdr:col>
      <xdr:colOff>17812</xdr:colOff>
      <xdr:row>43</xdr:row>
      <xdr:rowOff>571500</xdr:rowOff>
    </xdr:to>
    <xdr:cxnSp macro="">
      <xdr:nvCxnSpPr>
        <xdr:cNvPr id="12" name="Прямая соединительная линия 11"/>
        <xdr:cNvCxnSpPr/>
      </xdr:nvCxnSpPr>
      <xdr:spPr>
        <a:xfrm flipV="1">
          <a:off x="33875662" y="36528375"/>
          <a:ext cx="5251800" cy="0"/>
        </a:xfrm>
        <a:prstGeom prst="line">
          <a:avLst/>
        </a:prstGeom>
        <a:ln w="152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45</xdr:row>
      <xdr:rowOff>502228</xdr:rowOff>
    </xdr:from>
    <xdr:to>
      <xdr:col>44</xdr:col>
      <xdr:colOff>642938</xdr:colOff>
      <xdr:row>45</xdr:row>
      <xdr:rowOff>502228</xdr:rowOff>
    </xdr:to>
    <xdr:cxnSp macro="">
      <xdr:nvCxnSpPr>
        <xdr:cNvPr id="13" name="Прямая соединительная линия 12"/>
        <xdr:cNvCxnSpPr/>
      </xdr:nvCxnSpPr>
      <xdr:spPr>
        <a:xfrm>
          <a:off x="43434000" y="38230753"/>
          <a:ext cx="5900738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11207</xdr:colOff>
      <xdr:row>48</xdr:row>
      <xdr:rowOff>621469</xdr:rowOff>
    </xdr:from>
    <xdr:to>
      <xdr:col>20</xdr:col>
      <xdr:colOff>5507</xdr:colOff>
      <xdr:row>48</xdr:row>
      <xdr:rowOff>621469</xdr:rowOff>
    </xdr:to>
    <xdr:cxnSp macro="">
      <xdr:nvCxnSpPr>
        <xdr:cNvPr id="14" name="Прямая соединительная линия 13"/>
        <xdr:cNvCxnSpPr/>
      </xdr:nvCxnSpPr>
      <xdr:spPr>
        <a:xfrm>
          <a:off x="24852407" y="40807444"/>
          <a:ext cx="5909325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6060</xdr:colOff>
      <xdr:row>48</xdr:row>
      <xdr:rowOff>595313</xdr:rowOff>
    </xdr:from>
    <xdr:to>
      <xdr:col>32</xdr:col>
      <xdr:colOff>642938</xdr:colOff>
      <xdr:row>48</xdr:row>
      <xdr:rowOff>595313</xdr:rowOff>
    </xdr:to>
    <xdr:cxnSp macro="">
      <xdr:nvCxnSpPr>
        <xdr:cNvPr id="15" name="Прямая соединительная линия 14"/>
        <xdr:cNvCxnSpPr/>
      </xdr:nvCxnSpPr>
      <xdr:spPr>
        <a:xfrm flipV="1">
          <a:off x="32543460" y="40781288"/>
          <a:ext cx="7866353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6495</xdr:colOff>
      <xdr:row>49</xdr:row>
      <xdr:rowOff>571500</xdr:rowOff>
    </xdr:from>
    <xdr:to>
      <xdr:col>20</xdr:col>
      <xdr:colOff>0</xdr:colOff>
      <xdr:row>49</xdr:row>
      <xdr:rowOff>571500</xdr:rowOff>
    </xdr:to>
    <xdr:cxnSp macro="">
      <xdr:nvCxnSpPr>
        <xdr:cNvPr id="16" name="Прямая соединительная линия 15"/>
        <xdr:cNvCxnSpPr/>
      </xdr:nvCxnSpPr>
      <xdr:spPr>
        <a:xfrm>
          <a:off x="25504920" y="41576625"/>
          <a:ext cx="5251305" cy="0"/>
        </a:xfrm>
        <a:prstGeom prst="line">
          <a:avLst/>
        </a:prstGeom>
        <a:ln w="15240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51</xdr:row>
      <xdr:rowOff>571501</xdr:rowOff>
    </xdr:from>
    <xdr:to>
      <xdr:col>38</xdr:col>
      <xdr:colOff>34500</xdr:colOff>
      <xdr:row>51</xdr:row>
      <xdr:rowOff>571501</xdr:rowOff>
    </xdr:to>
    <xdr:cxnSp macro="">
      <xdr:nvCxnSpPr>
        <xdr:cNvPr id="17" name="Прямая соединительная линия 16"/>
        <xdr:cNvCxnSpPr/>
      </xdr:nvCxnSpPr>
      <xdr:spPr>
        <a:xfrm>
          <a:off x="43434000" y="43348276"/>
          <a:ext cx="1348950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52</xdr:row>
      <xdr:rowOff>561973</xdr:rowOff>
    </xdr:from>
    <xdr:to>
      <xdr:col>28</xdr:col>
      <xdr:colOff>638774</xdr:colOff>
      <xdr:row>52</xdr:row>
      <xdr:rowOff>561973</xdr:rowOff>
    </xdr:to>
    <xdr:cxnSp macro="">
      <xdr:nvCxnSpPr>
        <xdr:cNvPr id="18" name="Прямая соединительная линия 17"/>
        <xdr:cNvCxnSpPr/>
      </xdr:nvCxnSpPr>
      <xdr:spPr>
        <a:xfrm flipV="1">
          <a:off x="35166300" y="44234098"/>
          <a:ext cx="2610449" cy="0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53</xdr:row>
      <xdr:rowOff>621086</xdr:rowOff>
    </xdr:from>
    <xdr:to>
      <xdr:col>20</xdr:col>
      <xdr:colOff>9631</xdr:colOff>
      <xdr:row>53</xdr:row>
      <xdr:rowOff>621086</xdr:rowOff>
    </xdr:to>
    <xdr:cxnSp macro="">
      <xdr:nvCxnSpPr>
        <xdr:cNvPr id="19" name="Прямая соединительная линия 18"/>
        <xdr:cNvCxnSpPr/>
      </xdr:nvCxnSpPr>
      <xdr:spPr>
        <a:xfrm flipV="1">
          <a:off x="24841200" y="45112361"/>
          <a:ext cx="5924656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28573</xdr:colOff>
      <xdr:row>53</xdr:row>
      <xdr:rowOff>595313</xdr:rowOff>
    </xdr:from>
    <xdr:to>
      <xdr:col>32</xdr:col>
      <xdr:colOff>650323</xdr:colOff>
      <xdr:row>53</xdr:row>
      <xdr:rowOff>614365</xdr:rowOff>
    </xdr:to>
    <xdr:cxnSp macro="">
      <xdr:nvCxnSpPr>
        <xdr:cNvPr id="20" name="Прямая соединительная линия 19"/>
        <xdr:cNvCxnSpPr/>
      </xdr:nvCxnSpPr>
      <xdr:spPr>
        <a:xfrm flipV="1">
          <a:off x="32565973" y="45086588"/>
          <a:ext cx="7851225" cy="19052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54</xdr:row>
      <xdr:rowOff>571500</xdr:rowOff>
    </xdr:from>
    <xdr:to>
      <xdr:col>19</xdr:col>
      <xdr:colOff>642938</xdr:colOff>
      <xdr:row>54</xdr:row>
      <xdr:rowOff>571500</xdr:rowOff>
    </xdr:to>
    <xdr:cxnSp macro="">
      <xdr:nvCxnSpPr>
        <xdr:cNvPr id="21" name="Прямая соединительная линия 20"/>
        <xdr:cNvCxnSpPr/>
      </xdr:nvCxnSpPr>
      <xdr:spPr>
        <a:xfrm>
          <a:off x="25498425" y="45881925"/>
          <a:ext cx="5243513" cy="0"/>
        </a:xfrm>
        <a:prstGeom prst="line">
          <a:avLst/>
        </a:prstGeom>
        <a:ln w="15240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657223</xdr:colOff>
      <xdr:row>56</xdr:row>
      <xdr:rowOff>504825</xdr:rowOff>
    </xdr:from>
    <xdr:to>
      <xdr:col>38</xdr:col>
      <xdr:colOff>43723</xdr:colOff>
      <xdr:row>56</xdr:row>
      <xdr:rowOff>504825</xdr:rowOff>
    </xdr:to>
    <xdr:cxnSp macro="">
      <xdr:nvCxnSpPr>
        <xdr:cNvPr id="22" name="Прямая соединительная линия 21"/>
        <xdr:cNvCxnSpPr/>
      </xdr:nvCxnSpPr>
      <xdr:spPr>
        <a:xfrm>
          <a:off x="44091223" y="47586900"/>
          <a:ext cx="700950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23813</xdr:colOff>
      <xdr:row>39</xdr:row>
      <xdr:rowOff>500063</xdr:rowOff>
    </xdr:from>
    <xdr:to>
      <xdr:col>29</xdr:col>
      <xdr:colOff>642938</xdr:colOff>
      <xdr:row>39</xdr:row>
      <xdr:rowOff>500063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35190113" y="33180338"/>
          <a:ext cx="3248025" cy="0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3461</xdr:colOff>
      <xdr:row>41</xdr:row>
      <xdr:rowOff>561976</xdr:rowOff>
    </xdr:from>
    <xdr:to>
      <xdr:col>43</xdr:col>
      <xdr:colOff>14711</xdr:colOff>
      <xdr:row>41</xdr:row>
      <xdr:rowOff>570635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42123011" y="34880551"/>
          <a:ext cx="5926275" cy="8659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50</xdr:row>
      <xdr:rowOff>742950</xdr:rowOff>
    </xdr:from>
    <xdr:to>
      <xdr:col>20</xdr:col>
      <xdr:colOff>19050</xdr:colOff>
      <xdr:row>50</xdr:row>
      <xdr:rowOff>742950</xdr:rowOff>
    </xdr:to>
    <xdr:sp macro="" textlink="">
      <xdr:nvSpPr>
        <xdr:cNvPr id="25" name="Line 196"/>
        <xdr:cNvSpPr>
          <a:spLocks noChangeShapeType="1"/>
        </xdr:cNvSpPr>
      </xdr:nvSpPr>
      <xdr:spPr bwMode="auto">
        <a:xfrm flipV="1">
          <a:off x="25517475" y="42567225"/>
          <a:ext cx="5257800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50</xdr:row>
      <xdr:rowOff>762000</xdr:rowOff>
    </xdr:from>
    <xdr:to>
      <xdr:col>40</xdr:col>
      <xdr:colOff>647700</xdr:colOff>
      <xdr:row>50</xdr:row>
      <xdr:rowOff>762000</xdr:rowOff>
    </xdr:to>
    <xdr:sp macro="" textlink="">
      <xdr:nvSpPr>
        <xdr:cNvPr id="26" name="Line 197"/>
        <xdr:cNvSpPr>
          <a:spLocks noChangeShapeType="1"/>
        </xdr:cNvSpPr>
      </xdr:nvSpPr>
      <xdr:spPr bwMode="auto">
        <a:xfrm flipV="1">
          <a:off x="44119800" y="42586275"/>
          <a:ext cx="2590800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200024</xdr:colOff>
      <xdr:row>50</xdr:row>
      <xdr:rowOff>80963</xdr:rowOff>
    </xdr:from>
    <xdr:to>
      <xdr:col>18</xdr:col>
      <xdr:colOff>447674</xdr:colOff>
      <xdr:row>50</xdr:row>
      <xdr:rowOff>585788</xdr:rowOff>
    </xdr:to>
    <xdr:sp macro="" textlink="">
      <xdr:nvSpPr>
        <xdr:cNvPr id="27" name="TextBox 134"/>
        <xdr:cNvSpPr txBox="1">
          <a:spLocks noChangeArrowheads="1"/>
        </xdr:cNvSpPr>
      </xdr:nvSpPr>
      <xdr:spPr bwMode="auto">
        <a:xfrm>
          <a:off x="27012899" y="41905238"/>
          <a:ext cx="2876550" cy="5048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Закладные части</a:t>
          </a:r>
        </a:p>
      </xdr:txBody>
    </xdr:sp>
    <xdr:clientData/>
  </xdr:twoCellAnchor>
  <xdr:twoCellAnchor>
    <xdr:from>
      <xdr:col>36</xdr:col>
      <xdr:colOff>485764</xdr:colOff>
      <xdr:row>50</xdr:row>
      <xdr:rowOff>90509</xdr:rowOff>
    </xdr:from>
    <xdr:to>
      <xdr:col>41</xdr:col>
      <xdr:colOff>247639</xdr:colOff>
      <xdr:row>50</xdr:row>
      <xdr:rowOff>558509</xdr:rowOff>
    </xdr:to>
    <xdr:sp macro="" textlink="">
      <xdr:nvSpPr>
        <xdr:cNvPr id="28" name="TextBox 134"/>
        <xdr:cNvSpPr txBox="1">
          <a:spLocks noChangeArrowheads="1"/>
        </xdr:cNvSpPr>
      </xdr:nvSpPr>
      <xdr:spPr bwMode="auto">
        <a:xfrm>
          <a:off x="43919764" y="41914784"/>
          <a:ext cx="3048000" cy="468000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Мехоборудование</a:t>
          </a:r>
        </a:p>
      </xdr:txBody>
    </xdr:sp>
    <xdr:clientData/>
  </xdr:twoCellAnchor>
  <xdr:twoCellAnchor>
    <xdr:from>
      <xdr:col>12</xdr:col>
      <xdr:colOff>638175</xdr:colOff>
      <xdr:row>55</xdr:row>
      <xdr:rowOff>771525</xdr:rowOff>
    </xdr:from>
    <xdr:to>
      <xdr:col>19</xdr:col>
      <xdr:colOff>628650</xdr:colOff>
      <xdr:row>55</xdr:row>
      <xdr:rowOff>771525</xdr:rowOff>
    </xdr:to>
    <xdr:cxnSp macro="">
      <xdr:nvCxnSpPr>
        <xdr:cNvPr id="29" name="Прямая соединительная линия 458"/>
        <xdr:cNvCxnSpPr>
          <a:cxnSpLocks noChangeShapeType="1"/>
        </xdr:cNvCxnSpPr>
      </xdr:nvCxnSpPr>
      <xdr:spPr bwMode="auto">
        <a:xfrm flipV="1">
          <a:off x="26136600" y="46901100"/>
          <a:ext cx="4591050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590550</xdr:colOff>
      <xdr:row>55</xdr:row>
      <xdr:rowOff>104775</xdr:rowOff>
    </xdr:from>
    <xdr:to>
      <xdr:col>19</xdr:col>
      <xdr:colOff>152400</xdr:colOff>
      <xdr:row>55</xdr:row>
      <xdr:rowOff>609600</xdr:rowOff>
    </xdr:to>
    <xdr:sp macro="" textlink="">
      <xdr:nvSpPr>
        <xdr:cNvPr id="30" name="TextBox 134"/>
        <xdr:cNvSpPr txBox="1">
          <a:spLocks noChangeArrowheads="1"/>
        </xdr:cNvSpPr>
      </xdr:nvSpPr>
      <xdr:spPr bwMode="auto">
        <a:xfrm>
          <a:off x="27403425" y="46234350"/>
          <a:ext cx="2847975" cy="5048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Закладные части</a:t>
          </a:r>
        </a:p>
      </xdr:txBody>
    </xdr:sp>
    <xdr:clientData/>
  </xdr:twoCellAnchor>
  <xdr:twoCellAnchor>
    <xdr:from>
      <xdr:col>21</xdr:col>
      <xdr:colOff>41413</xdr:colOff>
      <xdr:row>55</xdr:row>
      <xdr:rowOff>790989</xdr:rowOff>
    </xdr:from>
    <xdr:to>
      <xdr:col>33</xdr:col>
      <xdr:colOff>16979</xdr:colOff>
      <xdr:row>55</xdr:row>
      <xdr:rowOff>790989</xdr:rowOff>
    </xdr:to>
    <xdr:cxnSp macro="">
      <xdr:nvCxnSpPr>
        <xdr:cNvPr id="31" name="Прямая соединительная линия 512"/>
        <xdr:cNvCxnSpPr>
          <a:cxnSpLocks noChangeShapeType="1"/>
        </xdr:cNvCxnSpPr>
      </xdr:nvCxnSpPr>
      <xdr:spPr bwMode="auto">
        <a:xfrm>
          <a:off x="32674891" y="47173598"/>
          <a:ext cx="7926871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23</xdr:col>
      <xdr:colOff>266699</xdr:colOff>
      <xdr:row>55</xdr:row>
      <xdr:rowOff>109537</xdr:rowOff>
    </xdr:from>
    <xdr:to>
      <xdr:col>27</xdr:col>
      <xdr:colOff>528636</xdr:colOff>
      <xdr:row>55</xdr:row>
      <xdr:rowOff>595313</xdr:rowOff>
    </xdr:to>
    <xdr:sp macro="" textlink="">
      <xdr:nvSpPr>
        <xdr:cNvPr id="32" name="TextBox 134"/>
        <xdr:cNvSpPr txBox="1">
          <a:spLocks noChangeArrowheads="1"/>
        </xdr:cNvSpPr>
      </xdr:nvSpPr>
      <xdr:spPr bwMode="auto">
        <a:xfrm>
          <a:off x="34118549" y="46239112"/>
          <a:ext cx="2890837" cy="485776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Закладные части</a:t>
          </a:r>
        </a:p>
      </xdr:txBody>
    </xdr:sp>
    <xdr:clientData/>
  </xdr:twoCellAnchor>
  <xdr:twoCellAnchor>
    <xdr:from>
      <xdr:col>36</xdr:col>
      <xdr:colOff>0</xdr:colOff>
      <xdr:row>55</xdr:row>
      <xdr:rowOff>695325</xdr:rowOff>
    </xdr:from>
    <xdr:to>
      <xdr:col>45</xdr:col>
      <xdr:colOff>609600</xdr:colOff>
      <xdr:row>55</xdr:row>
      <xdr:rowOff>695325</xdr:rowOff>
    </xdr:to>
    <xdr:cxnSp macro="">
      <xdr:nvCxnSpPr>
        <xdr:cNvPr id="33" name="Прямая соединительная линия 515"/>
        <xdr:cNvCxnSpPr>
          <a:cxnSpLocks noChangeShapeType="1"/>
        </xdr:cNvCxnSpPr>
      </xdr:nvCxnSpPr>
      <xdr:spPr bwMode="auto">
        <a:xfrm flipV="1">
          <a:off x="43434000" y="46824900"/>
          <a:ext cx="6524625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36</xdr:col>
      <xdr:colOff>304800</xdr:colOff>
      <xdr:row>55</xdr:row>
      <xdr:rowOff>100019</xdr:rowOff>
    </xdr:from>
    <xdr:to>
      <xdr:col>41</xdr:col>
      <xdr:colOff>190499</xdr:colOff>
      <xdr:row>55</xdr:row>
      <xdr:rowOff>476250</xdr:rowOff>
    </xdr:to>
    <xdr:sp macro="" textlink="">
      <xdr:nvSpPr>
        <xdr:cNvPr id="34" name="TextBox 134"/>
        <xdr:cNvSpPr txBox="1">
          <a:spLocks noChangeArrowheads="1"/>
        </xdr:cNvSpPr>
      </xdr:nvSpPr>
      <xdr:spPr bwMode="auto">
        <a:xfrm>
          <a:off x="43738800" y="46229594"/>
          <a:ext cx="3171824" cy="376231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Мехоборудование</a:t>
          </a:r>
        </a:p>
      </xdr:txBody>
    </xdr:sp>
    <xdr:clientData/>
  </xdr:twoCellAnchor>
  <xdr:twoCellAnchor>
    <xdr:from>
      <xdr:col>58</xdr:col>
      <xdr:colOff>420565</xdr:colOff>
      <xdr:row>10</xdr:row>
      <xdr:rowOff>38103</xdr:rowOff>
    </xdr:from>
    <xdr:to>
      <xdr:col>58</xdr:col>
      <xdr:colOff>420565</xdr:colOff>
      <xdr:row>100</xdr:row>
      <xdr:rowOff>123831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15274801" y="50030067"/>
          <a:ext cx="84362928" cy="0"/>
        </a:xfrm>
        <a:prstGeom prst="line">
          <a:avLst/>
        </a:prstGeom>
        <a:ln w="38100">
          <a:solidFill>
            <a:srgbClr val="FF0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47</xdr:col>
      <xdr:colOff>304800</xdr:colOff>
      <xdr:row>10</xdr:row>
      <xdr:rowOff>0</xdr:rowOff>
    </xdr:from>
    <xdr:ext cx="155563" cy="253978"/>
    <xdr:sp macro="" textlink="">
      <xdr:nvSpPr>
        <xdr:cNvPr id="36" name="TextBox 35"/>
        <xdr:cNvSpPr txBox="1"/>
      </xdr:nvSpPr>
      <xdr:spPr>
        <a:xfrm>
          <a:off x="51882675" y="7724775"/>
          <a:ext cx="155563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13</xdr:col>
      <xdr:colOff>6540</xdr:colOff>
      <xdr:row>46</xdr:row>
      <xdr:rowOff>642935</xdr:rowOff>
    </xdr:from>
    <xdr:to>
      <xdr:col>16</xdr:col>
      <xdr:colOff>644681</xdr:colOff>
      <xdr:row>46</xdr:row>
      <xdr:rowOff>642935</xdr:rowOff>
    </xdr:to>
    <xdr:cxnSp macro="">
      <xdr:nvCxnSpPr>
        <xdr:cNvPr id="37" name="Прямая соединительная линия 36"/>
        <xdr:cNvCxnSpPr/>
      </xdr:nvCxnSpPr>
      <xdr:spPr>
        <a:xfrm>
          <a:off x="26162190" y="39190610"/>
          <a:ext cx="2609816" cy="0"/>
        </a:xfrm>
        <a:prstGeom prst="line">
          <a:avLst/>
        </a:prstGeom>
        <a:ln w="1524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44</xdr:row>
      <xdr:rowOff>790575</xdr:rowOff>
    </xdr:from>
    <xdr:to>
      <xdr:col>33</xdr:col>
      <xdr:colOff>9525</xdr:colOff>
      <xdr:row>44</xdr:row>
      <xdr:rowOff>790575</xdr:rowOff>
    </xdr:to>
    <xdr:cxnSp macro="">
      <xdr:nvCxnSpPr>
        <xdr:cNvPr id="38" name="Прямая соединительная линия 301"/>
        <xdr:cNvCxnSpPr>
          <a:cxnSpLocks noChangeShapeType="1"/>
        </xdr:cNvCxnSpPr>
      </xdr:nvCxnSpPr>
      <xdr:spPr bwMode="auto">
        <a:xfrm>
          <a:off x="32537400" y="37566600"/>
          <a:ext cx="7896225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34</xdr:col>
      <xdr:colOff>0</xdr:colOff>
      <xdr:row>44</xdr:row>
      <xdr:rowOff>790575</xdr:rowOff>
    </xdr:from>
    <xdr:to>
      <xdr:col>45</xdr:col>
      <xdr:colOff>619125</xdr:colOff>
      <xdr:row>44</xdr:row>
      <xdr:rowOff>790575</xdr:rowOff>
    </xdr:to>
    <xdr:cxnSp macro="">
      <xdr:nvCxnSpPr>
        <xdr:cNvPr id="39" name="Прямая соединительная линия 418"/>
        <xdr:cNvCxnSpPr>
          <a:cxnSpLocks noChangeShapeType="1"/>
        </xdr:cNvCxnSpPr>
      </xdr:nvCxnSpPr>
      <xdr:spPr bwMode="auto">
        <a:xfrm>
          <a:off x="42119550" y="37566600"/>
          <a:ext cx="7848600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35</xdr:col>
      <xdr:colOff>514338</xdr:colOff>
      <xdr:row>44</xdr:row>
      <xdr:rowOff>105456</xdr:rowOff>
    </xdr:from>
    <xdr:to>
      <xdr:col>44</xdr:col>
      <xdr:colOff>381000</xdr:colOff>
      <xdr:row>44</xdr:row>
      <xdr:rowOff>587751</xdr:rowOff>
    </xdr:to>
    <xdr:sp macro="" textlink="">
      <xdr:nvSpPr>
        <xdr:cNvPr id="40" name="TextBox 134"/>
        <xdr:cNvSpPr txBox="1">
          <a:spLocks noChangeArrowheads="1"/>
        </xdr:cNvSpPr>
      </xdr:nvSpPr>
      <xdr:spPr bwMode="auto">
        <a:xfrm>
          <a:off x="43291113" y="36881481"/>
          <a:ext cx="5781687" cy="482295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Закладные части и мехоборудование</a:t>
          </a:r>
        </a:p>
      </xdr:txBody>
    </xdr:sp>
    <xdr:clientData/>
  </xdr:twoCellAnchor>
  <xdr:twoCellAnchor>
    <xdr:from>
      <xdr:col>15</xdr:col>
      <xdr:colOff>200872</xdr:colOff>
      <xdr:row>44</xdr:row>
      <xdr:rowOff>238981</xdr:rowOff>
    </xdr:from>
    <xdr:to>
      <xdr:col>19</xdr:col>
      <xdr:colOff>462809</xdr:colOff>
      <xdr:row>44</xdr:row>
      <xdr:rowOff>643794</xdr:rowOff>
    </xdr:to>
    <xdr:sp macro="" textlink="">
      <xdr:nvSpPr>
        <xdr:cNvPr id="41" name="TextBox 134"/>
        <xdr:cNvSpPr txBox="1">
          <a:spLocks noChangeArrowheads="1"/>
        </xdr:cNvSpPr>
      </xdr:nvSpPr>
      <xdr:spPr bwMode="auto">
        <a:xfrm>
          <a:off x="27670972" y="37015006"/>
          <a:ext cx="2890837" cy="404813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Закладные части</a:t>
          </a:r>
        </a:p>
      </xdr:txBody>
    </xdr:sp>
    <xdr:clientData/>
  </xdr:twoCellAnchor>
  <xdr:twoCellAnchor>
    <xdr:from>
      <xdr:col>22</xdr:col>
      <xdr:colOff>571500</xdr:colOff>
      <xdr:row>44</xdr:row>
      <xdr:rowOff>174172</xdr:rowOff>
    </xdr:from>
    <xdr:to>
      <xdr:col>27</xdr:col>
      <xdr:colOff>185737</xdr:colOff>
      <xdr:row>44</xdr:row>
      <xdr:rowOff>578985</xdr:rowOff>
    </xdr:to>
    <xdr:sp macro="" textlink="">
      <xdr:nvSpPr>
        <xdr:cNvPr id="42" name="TextBox 134"/>
        <xdr:cNvSpPr txBox="1">
          <a:spLocks noChangeArrowheads="1"/>
        </xdr:cNvSpPr>
      </xdr:nvSpPr>
      <xdr:spPr bwMode="auto">
        <a:xfrm>
          <a:off x="33766125" y="36950197"/>
          <a:ext cx="2900362" cy="404813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Закладные части</a:t>
          </a:r>
        </a:p>
      </xdr:txBody>
    </xdr:sp>
    <xdr:clientData/>
  </xdr:twoCellAnchor>
  <xdr:twoCellAnchor>
    <xdr:from>
      <xdr:col>18</xdr:col>
      <xdr:colOff>9525</xdr:colOff>
      <xdr:row>44</xdr:row>
      <xdr:rowOff>790575</xdr:rowOff>
    </xdr:from>
    <xdr:to>
      <xdr:col>19</xdr:col>
      <xdr:colOff>638175</xdr:colOff>
      <xdr:row>44</xdr:row>
      <xdr:rowOff>790575</xdr:rowOff>
    </xdr:to>
    <xdr:cxnSp macro="">
      <xdr:nvCxnSpPr>
        <xdr:cNvPr id="43" name="Прямая соединительная линия 494"/>
        <xdr:cNvCxnSpPr>
          <a:cxnSpLocks noChangeShapeType="1"/>
        </xdr:cNvCxnSpPr>
      </xdr:nvCxnSpPr>
      <xdr:spPr bwMode="auto">
        <a:xfrm>
          <a:off x="29451300" y="37566600"/>
          <a:ext cx="1285875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24</xdr:col>
      <xdr:colOff>640773</xdr:colOff>
      <xdr:row>47</xdr:row>
      <xdr:rowOff>547688</xdr:rowOff>
    </xdr:from>
    <xdr:to>
      <xdr:col>30</xdr:col>
      <xdr:colOff>640773</xdr:colOff>
      <xdr:row>47</xdr:row>
      <xdr:rowOff>547688</xdr:rowOff>
    </xdr:to>
    <xdr:cxnSp macro="">
      <xdr:nvCxnSpPr>
        <xdr:cNvPr id="44" name="Прямая соединительная линия 43"/>
        <xdr:cNvCxnSpPr/>
      </xdr:nvCxnSpPr>
      <xdr:spPr>
        <a:xfrm>
          <a:off x="35149848" y="39914513"/>
          <a:ext cx="3943350" cy="0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50</xdr:row>
      <xdr:rowOff>742950</xdr:rowOff>
    </xdr:from>
    <xdr:to>
      <xdr:col>33</xdr:col>
      <xdr:colOff>9525</xdr:colOff>
      <xdr:row>50</xdr:row>
      <xdr:rowOff>742950</xdr:rowOff>
    </xdr:to>
    <xdr:sp macro="" textlink="">
      <xdr:nvSpPr>
        <xdr:cNvPr id="45" name="Line 196"/>
        <xdr:cNvSpPr>
          <a:spLocks noChangeShapeType="1"/>
        </xdr:cNvSpPr>
      </xdr:nvSpPr>
      <xdr:spPr bwMode="auto">
        <a:xfrm flipV="1">
          <a:off x="32537400" y="42567225"/>
          <a:ext cx="7896225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333375</xdr:colOff>
      <xdr:row>50</xdr:row>
      <xdr:rowOff>95250</xdr:rowOff>
    </xdr:from>
    <xdr:to>
      <xdr:col>26</xdr:col>
      <xdr:colOff>581025</xdr:colOff>
      <xdr:row>50</xdr:row>
      <xdr:rowOff>600075</xdr:rowOff>
    </xdr:to>
    <xdr:sp macro="" textlink="">
      <xdr:nvSpPr>
        <xdr:cNvPr id="46" name="TextBox 134"/>
        <xdr:cNvSpPr txBox="1">
          <a:spLocks noChangeArrowheads="1"/>
        </xdr:cNvSpPr>
      </xdr:nvSpPr>
      <xdr:spPr bwMode="auto">
        <a:xfrm>
          <a:off x="33528000" y="41919525"/>
          <a:ext cx="2876550" cy="5048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Закладные части</a:t>
          </a:r>
        </a:p>
      </xdr:txBody>
    </xdr:sp>
    <xdr:clientData/>
  </xdr:twoCellAnchor>
  <xdr:twoCellAnchor>
    <xdr:from>
      <xdr:col>15</xdr:col>
      <xdr:colOff>276224</xdr:colOff>
      <xdr:row>58</xdr:row>
      <xdr:rowOff>409573</xdr:rowOff>
    </xdr:from>
    <xdr:to>
      <xdr:col>17</xdr:col>
      <xdr:colOff>257774</xdr:colOff>
      <xdr:row>58</xdr:row>
      <xdr:rowOff>409573</xdr:rowOff>
    </xdr:to>
    <xdr:cxnSp macro="">
      <xdr:nvCxnSpPr>
        <xdr:cNvPr id="47" name="Прямая соединительная линия 46"/>
        <xdr:cNvCxnSpPr/>
      </xdr:nvCxnSpPr>
      <xdr:spPr>
        <a:xfrm>
          <a:off x="27746324" y="49129948"/>
          <a:ext cx="1296000" cy="0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59</xdr:row>
      <xdr:rowOff>485775</xdr:rowOff>
    </xdr:from>
    <xdr:to>
      <xdr:col>20</xdr:col>
      <xdr:colOff>0</xdr:colOff>
      <xdr:row>59</xdr:row>
      <xdr:rowOff>485775</xdr:rowOff>
    </xdr:to>
    <xdr:cxnSp macro="">
      <xdr:nvCxnSpPr>
        <xdr:cNvPr id="49" name="Прямая соединительная линия 48"/>
        <xdr:cNvCxnSpPr/>
      </xdr:nvCxnSpPr>
      <xdr:spPr>
        <a:xfrm>
          <a:off x="26812875" y="50025300"/>
          <a:ext cx="3943350" cy="0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17318</xdr:colOff>
      <xdr:row>59</xdr:row>
      <xdr:rowOff>538162</xdr:rowOff>
    </xdr:from>
    <xdr:to>
      <xdr:col>46</xdr:col>
      <xdr:colOff>0</xdr:colOff>
      <xdr:row>59</xdr:row>
      <xdr:rowOff>538163</xdr:rowOff>
    </xdr:to>
    <xdr:cxnSp macro="">
      <xdr:nvCxnSpPr>
        <xdr:cNvPr id="51" name="Прямая соединительная линия 50"/>
        <xdr:cNvCxnSpPr/>
      </xdr:nvCxnSpPr>
      <xdr:spPr>
        <a:xfrm>
          <a:off x="44108543" y="50077687"/>
          <a:ext cx="5897707" cy="1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533400</xdr:rowOff>
    </xdr:from>
    <xdr:to>
      <xdr:col>17</xdr:col>
      <xdr:colOff>609600</xdr:colOff>
      <xdr:row>60</xdr:row>
      <xdr:rowOff>533400</xdr:rowOff>
    </xdr:to>
    <xdr:cxnSp macro="">
      <xdr:nvCxnSpPr>
        <xdr:cNvPr id="52" name="Прямая соединительная линия 51"/>
        <xdr:cNvCxnSpPr/>
      </xdr:nvCxnSpPr>
      <xdr:spPr>
        <a:xfrm flipV="1">
          <a:off x="24841200" y="50892075"/>
          <a:ext cx="455295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60</xdr:row>
      <xdr:rowOff>533400</xdr:rowOff>
    </xdr:from>
    <xdr:to>
      <xdr:col>32</xdr:col>
      <xdr:colOff>657750</xdr:colOff>
      <xdr:row>60</xdr:row>
      <xdr:rowOff>569400</xdr:rowOff>
    </xdr:to>
    <xdr:cxnSp macro="">
      <xdr:nvCxnSpPr>
        <xdr:cNvPr id="53" name="Прямая соединительная линия 52"/>
        <xdr:cNvCxnSpPr/>
      </xdr:nvCxnSpPr>
      <xdr:spPr>
        <a:xfrm>
          <a:off x="32537400" y="50892075"/>
          <a:ext cx="7887225" cy="3600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-1</xdr:colOff>
      <xdr:row>60</xdr:row>
      <xdr:rowOff>533400</xdr:rowOff>
    </xdr:from>
    <xdr:to>
      <xdr:col>46</xdr:col>
      <xdr:colOff>10049</xdr:colOff>
      <xdr:row>60</xdr:row>
      <xdr:rowOff>533400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40576499" y="51701700"/>
          <a:ext cx="778245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52387</xdr:colOff>
      <xdr:row>59</xdr:row>
      <xdr:rowOff>438873</xdr:rowOff>
    </xdr:from>
    <xdr:to>
      <xdr:col>33</xdr:col>
      <xdr:colOff>0</xdr:colOff>
      <xdr:row>59</xdr:row>
      <xdr:rowOff>495300</xdr:rowOff>
    </xdr:to>
    <xdr:cxnSp macro="">
      <xdr:nvCxnSpPr>
        <xdr:cNvPr id="55" name="Прямая соединительная линия 54"/>
        <xdr:cNvCxnSpPr/>
      </xdr:nvCxnSpPr>
      <xdr:spPr>
        <a:xfrm>
          <a:off x="33085087" y="50768973"/>
          <a:ext cx="5776913" cy="56427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38100</xdr:colOff>
      <xdr:row>62</xdr:row>
      <xdr:rowOff>457200</xdr:rowOff>
    </xdr:from>
    <xdr:to>
      <xdr:col>50</xdr:col>
      <xdr:colOff>609600</xdr:colOff>
      <xdr:row>62</xdr:row>
      <xdr:rowOff>473530</xdr:rowOff>
    </xdr:to>
    <xdr:cxnSp macro="">
      <xdr:nvCxnSpPr>
        <xdr:cNvPr id="57" name="Прямая соединительная линия 56"/>
        <xdr:cNvCxnSpPr/>
      </xdr:nvCxnSpPr>
      <xdr:spPr>
        <a:xfrm flipV="1">
          <a:off x="49949100" y="53416200"/>
          <a:ext cx="2514600" cy="16330"/>
        </a:xfrm>
        <a:prstGeom prst="line">
          <a:avLst/>
        </a:prstGeom>
        <a:ln w="1524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1543050</xdr:colOff>
      <xdr:row>61</xdr:row>
      <xdr:rowOff>533400</xdr:rowOff>
    </xdr:from>
    <xdr:to>
      <xdr:col>50</xdr:col>
      <xdr:colOff>0</xdr:colOff>
      <xdr:row>61</xdr:row>
      <xdr:rowOff>533400</xdr:rowOff>
    </xdr:to>
    <xdr:cxnSp macro="">
      <xdr:nvCxnSpPr>
        <xdr:cNvPr id="59" name="Прямая соединительная линия 512"/>
        <xdr:cNvCxnSpPr>
          <a:cxnSpLocks noChangeShapeType="1"/>
        </xdr:cNvCxnSpPr>
      </xdr:nvCxnSpPr>
      <xdr:spPr bwMode="auto">
        <a:xfrm>
          <a:off x="49891950" y="52539900"/>
          <a:ext cx="1962150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47</xdr:col>
      <xdr:colOff>304800</xdr:colOff>
      <xdr:row>3</xdr:row>
      <xdr:rowOff>762000</xdr:rowOff>
    </xdr:from>
    <xdr:ext cx="155563" cy="253978"/>
    <xdr:sp macro="" textlink="">
      <xdr:nvSpPr>
        <xdr:cNvPr id="60" name="TextBox 59"/>
        <xdr:cNvSpPr txBox="1"/>
      </xdr:nvSpPr>
      <xdr:spPr>
        <a:xfrm>
          <a:off x="51882675" y="2686050"/>
          <a:ext cx="155563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11</xdr:col>
      <xdr:colOff>0</xdr:colOff>
      <xdr:row>61</xdr:row>
      <xdr:rowOff>533400</xdr:rowOff>
    </xdr:from>
    <xdr:to>
      <xdr:col>20</xdr:col>
      <xdr:colOff>0</xdr:colOff>
      <xdr:row>61</xdr:row>
      <xdr:rowOff>533400</xdr:rowOff>
    </xdr:to>
    <xdr:sp macro="" textlink="">
      <xdr:nvSpPr>
        <xdr:cNvPr id="61" name="Line 196"/>
        <xdr:cNvSpPr>
          <a:spLocks noChangeShapeType="1"/>
        </xdr:cNvSpPr>
      </xdr:nvSpPr>
      <xdr:spPr bwMode="auto">
        <a:xfrm flipV="1">
          <a:off x="24841200" y="51711225"/>
          <a:ext cx="5915025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63</xdr:row>
      <xdr:rowOff>533400</xdr:rowOff>
    </xdr:from>
    <xdr:to>
      <xdr:col>13</xdr:col>
      <xdr:colOff>38100</xdr:colOff>
      <xdr:row>63</xdr:row>
      <xdr:rowOff>533400</xdr:rowOff>
    </xdr:to>
    <xdr:cxnSp macro="">
      <xdr:nvCxnSpPr>
        <xdr:cNvPr id="62" name="Прямая соединительная линия 61"/>
        <xdr:cNvCxnSpPr/>
      </xdr:nvCxnSpPr>
      <xdr:spPr>
        <a:xfrm>
          <a:off x="24841200" y="53482875"/>
          <a:ext cx="1352550" cy="0"/>
        </a:xfrm>
        <a:prstGeom prst="line">
          <a:avLst/>
        </a:prstGeom>
        <a:ln w="1524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64</xdr:row>
      <xdr:rowOff>609600</xdr:rowOff>
    </xdr:from>
    <xdr:to>
      <xdr:col>13</xdr:col>
      <xdr:colOff>609600</xdr:colOff>
      <xdr:row>64</xdr:row>
      <xdr:rowOff>609600</xdr:rowOff>
    </xdr:to>
    <xdr:cxnSp macro="">
      <xdr:nvCxnSpPr>
        <xdr:cNvPr id="63" name="Прямая соединительная линия 62"/>
        <xdr:cNvCxnSpPr/>
      </xdr:nvCxnSpPr>
      <xdr:spPr>
        <a:xfrm>
          <a:off x="24841200" y="54797325"/>
          <a:ext cx="192405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623887</xdr:colOff>
      <xdr:row>65</xdr:row>
      <xdr:rowOff>495300</xdr:rowOff>
    </xdr:from>
    <xdr:to>
      <xdr:col>14</xdr:col>
      <xdr:colOff>0</xdr:colOff>
      <xdr:row>65</xdr:row>
      <xdr:rowOff>495300</xdr:rowOff>
    </xdr:to>
    <xdr:cxnSp macro="">
      <xdr:nvCxnSpPr>
        <xdr:cNvPr id="64" name="Прямая соединительная линия 63"/>
        <xdr:cNvCxnSpPr/>
      </xdr:nvCxnSpPr>
      <xdr:spPr>
        <a:xfrm>
          <a:off x="26122312" y="55921275"/>
          <a:ext cx="690563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67</xdr:row>
      <xdr:rowOff>603539</xdr:rowOff>
    </xdr:from>
    <xdr:to>
      <xdr:col>19</xdr:col>
      <xdr:colOff>619125</xdr:colOff>
      <xdr:row>67</xdr:row>
      <xdr:rowOff>603539</xdr:rowOff>
    </xdr:to>
    <xdr:cxnSp macro="">
      <xdr:nvCxnSpPr>
        <xdr:cNvPr id="65" name="Прямая соединительная линия 64"/>
        <xdr:cNvCxnSpPr/>
      </xdr:nvCxnSpPr>
      <xdr:spPr>
        <a:xfrm>
          <a:off x="24841200" y="58696514"/>
          <a:ext cx="5876925" cy="0"/>
        </a:xfrm>
        <a:prstGeom prst="line">
          <a:avLst/>
        </a:prstGeom>
        <a:ln w="152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69</xdr:row>
      <xdr:rowOff>495300</xdr:rowOff>
    </xdr:from>
    <xdr:to>
      <xdr:col>20</xdr:col>
      <xdr:colOff>0</xdr:colOff>
      <xdr:row>69</xdr:row>
      <xdr:rowOff>514350</xdr:rowOff>
    </xdr:to>
    <xdr:cxnSp macro="">
      <xdr:nvCxnSpPr>
        <xdr:cNvPr id="66" name="Прямая соединительная линия 65"/>
        <xdr:cNvCxnSpPr/>
      </xdr:nvCxnSpPr>
      <xdr:spPr>
        <a:xfrm>
          <a:off x="29479875" y="60359925"/>
          <a:ext cx="1276350" cy="1905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-1</xdr:colOff>
      <xdr:row>69</xdr:row>
      <xdr:rowOff>538163</xdr:rowOff>
    </xdr:from>
    <xdr:to>
      <xdr:col>46</xdr:col>
      <xdr:colOff>10049</xdr:colOff>
      <xdr:row>69</xdr:row>
      <xdr:rowOff>538163</xdr:rowOff>
    </xdr:to>
    <xdr:cxnSp macro="">
      <xdr:nvCxnSpPr>
        <xdr:cNvPr id="67" name="Прямая соединительная линия 66"/>
        <xdr:cNvCxnSpPr/>
      </xdr:nvCxnSpPr>
      <xdr:spPr>
        <a:xfrm>
          <a:off x="42119549" y="60402788"/>
          <a:ext cx="789675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68</xdr:row>
      <xdr:rowOff>571500</xdr:rowOff>
    </xdr:from>
    <xdr:to>
      <xdr:col>20</xdr:col>
      <xdr:colOff>0</xdr:colOff>
      <xdr:row>68</xdr:row>
      <xdr:rowOff>571500</xdr:rowOff>
    </xdr:to>
    <xdr:cxnSp macro="">
      <xdr:nvCxnSpPr>
        <xdr:cNvPr id="69" name="Прямая соединительная линия 68"/>
        <xdr:cNvCxnSpPr/>
      </xdr:nvCxnSpPr>
      <xdr:spPr>
        <a:xfrm flipV="1">
          <a:off x="26850975" y="59616975"/>
          <a:ext cx="3905250" cy="0"/>
        </a:xfrm>
        <a:prstGeom prst="line">
          <a:avLst/>
        </a:prstGeom>
        <a:ln w="1524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23812</xdr:colOff>
      <xdr:row>68</xdr:row>
      <xdr:rowOff>547687</xdr:rowOff>
    </xdr:from>
    <xdr:to>
      <xdr:col>33</xdr:col>
      <xdr:colOff>23812</xdr:colOff>
      <xdr:row>68</xdr:row>
      <xdr:rowOff>547687</xdr:rowOff>
    </xdr:to>
    <xdr:cxnSp macro="">
      <xdr:nvCxnSpPr>
        <xdr:cNvPr id="70" name="Прямая соединительная линия 69"/>
        <xdr:cNvCxnSpPr/>
      </xdr:nvCxnSpPr>
      <xdr:spPr>
        <a:xfrm>
          <a:off x="32561212" y="59593162"/>
          <a:ext cx="7886700" cy="0"/>
        </a:xfrm>
        <a:prstGeom prst="line">
          <a:avLst/>
        </a:prstGeom>
        <a:ln w="1524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68</xdr:row>
      <xdr:rowOff>595312</xdr:rowOff>
    </xdr:from>
    <xdr:to>
      <xdr:col>45</xdr:col>
      <xdr:colOff>571500</xdr:colOff>
      <xdr:row>68</xdr:row>
      <xdr:rowOff>595312</xdr:rowOff>
    </xdr:to>
    <xdr:cxnSp macro="">
      <xdr:nvCxnSpPr>
        <xdr:cNvPr id="71" name="Прямая соединительная линия 70"/>
        <xdr:cNvCxnSpPr/>
      </xdr:nvCxnSpPr>
      <xdr:spPr>
        <a:xfrm>
          <a:off x="42119550" y="59640787"/>
          <a:ext cx="7800975" cy="0"/>
        </a:xfrm>
        <a:prstGeom prst="line">
          <a:avLst/>
        </a:prstGeom>
        <a:ln w="1524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67</xdr:row>
      <xdr:rowOff>651164</xdr:rowOff>
    </xdr:from>
    <xdr:to>
      <xdr:col>32</xdr:col>
      <xdr:colOff>609600</xdr:colOff>
      <xdr:row>67</xdr:row>
      <xdr:rowOff>651164</xdr:rowOff>
    </xdr:to>
    <xdr:cxnSp macro="">
      <xdr:nvCxnSpPr>
        <xdr:cNvPr id="72" name="Прямая соединительная линия 71"/>
        <xdr:cNvCxnSpPr/>
      </xdr:nvCxnSpPr>
      <xdr:spPr>
        <a:xfrm>
          <a:off x="32575500" y="58744139"/>
          <a:ext cx="7800975" cy="0"/>
        </a:xfrm>
        <a:prstGeom prst="line">
          <a:avLst/>
        </a:prstGeom>
        <a:ln w="152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67</xdr:row>
      <xdr:rowOff>651164</xdr:rowOff>
    </xdr:from>
    <xdr:to>
      <xdr:col>45</xdr:col>
      <xdr:colOff>541200</xdr:colOff>
      <xdr:row>67</xdr:row>
      <xdr:rowOff>651164</xdr:rowOff>
    </xdr:to>
    <xdr:cxnSp macro="">
      <xdr:nvCxnSpPr>
        <xdr:cNvPr id="73" name="Прямая соединительная линия 72"/>
        <xdr:cNvCxnSpPr/>
      </xdr:nvCxnSpPr>
      <xdr:spPr>
        <a:xfrm>
          <a:off x="42119550" y="58744139"/>
          <a:ext cx="7770675" cy="0"/>
        </a:xfrm>
        <a:prstGeom prst="line">
          <a:avLst/>
        </a:prstGeom>
        <a:ln w="152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66</xdr:row>
      <xdr:rowOff>838200</xdr:rowOff>
    </xdr:from>
    <xdr:to>
      <xdr:col>17</xdr:col>
      <xdr:colOff>0</xdr:colOff>
      <xdr:row>66</xdr:row>
      <xdr:rowOff>838200</xdr:rowOff>
    </xdr:to>
    <xdr:cxnSp macro="">
      <xdr:nvCxnSpPr>
        <xdr:cNvPr id="75" name="Прямая соединительная линия 74"/>
        <xdr:cNvCxnSpPr/>
      </xdr:nvCxnSpPr>
      <xdr:spPr>
        <a:xfrm>
          <a:off x="24879300" y="57502425"/>
          <a:ext cx="3905250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73</xdr:row>
      <xdr:rowOff>586409</xdr:rowOff>
    </xdr:from>
    <xdr:to>
      <xdr:col>32</xdr:col>
      <xdr:colOff>609600</xdr:colOff>
      <xdr:row>73</xdr:row>
      <xdr:rowOff>622409</xdr:rowOff>
    </xdr:to>
    <xdr:cxnSp macro="">
      <xdr:nvCxnSpPr>
        <xdr:cNvPr id="76" name="Прямая соединительная линия 75"/>
        <xdr:cNvCxnSpPr/>
      </xdr:nvCxnSpPr>
      <xdr:spPr>
        <a:xfrm flipV="1">
          <a:off x="32556450" y="64470584"/>
          <a:ext cx="7820025" cy="3600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71</xdr:row>
      <xdr:rowOff>495300</xdr:rowOff>
    </xdr:from>
    <xdr:to>
      <xdr:col>19</xdr:col>
      <xdr:colOff>609600</xdr:colOff>
      <xdr:row>71</xdr:row>
      <xdr:rowOff>495300</xdr:rowOff>
    </xdr:to>
    <xdr:cxnSp macro="">
      <xdr:nvCxnSpPr>
        <xdr:cNvPr id="77" name="Прямая соединительная линия 76"/>
        <xdr:cNvCxnSpPr/>
      </xdr:nvCxnSpPr>
      <xdr:spPr>
        <a:xfrm>
          <a:off x="24841200" y="62741175"/>
          <a:ext cx="5867400" cy="0"/>
        </a:xfrm>
        <a:prstGeom prst="line">
          <a:avLst/>
        </a:prstGeom>
        <a:ln w="1524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74</xdr:row>
      <xdr:rowOff>397329</xdr:rowOff>
    </xdr:from>
    <xdr:to>
      <xdr:col>15</xdr:col>
      <xdr:colOff>76200</xdr:colOff>
      <xdr:row>74</xdr:row>
      <xdr:rowOff>397329</xdr:rowOff>
    </xdr:to>
    <xdr:cxnSp macro="">
      <xdr:nvCxnSpPr>
        <xdr:cNvPr id="78" name="Прямая соединительная линия 77"/>
        <xdr:cNvCxnSpPr/>
      </xdr:nvCxnSpPr>
      <xdr:spPr>
        <a:xfrm>
          <a:off x="26850975" y="65234004"/>
          <a:ext cx="695325" cy="0"/>
        </a:xfrm>
        <a:prstGeom prst="line">
          <a:avLst/>
        </a:prstGeom>
        <a:ln w="1524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56322</xdr:colOff>
      <xdr:row>74</xdr:row>
      <xdr:rowOff>457200</xdr:rowOff>
    </xdr:from>
    <xdr:to>
      <xdr:col>51</xdr:col>
      <xdr:colOff>0</xdr:colOff>
      <xdr:row>74</xdr:row>
      <xdr:rowOff>497342</xdr:rowOff>
    </xdr:to>
    <xdr:cxnSp macro="">
      <xdr:nvCxnSpPr>
        <xdr:cNvPr id="79" name="Прямая соединительная линия 78"/>
        <xdr:cNvCxnSpPr/>
      </xdr:nvCxnSpPr>
      <xdr:spPr>
        <a:xfrm flipV="1">
          <a:off x="49967322" y="66294000"/>
          <a:ext cx="2534478" cy="40142"/>
        </a:xfrm>
        <a:prstGeom prst="line">
          <a:avLst/>
        </a:prstGeom>
        <a:ln w="1524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72</xdr:row>
      <xdr:rowOff>457200</xdr:rowOff>
    </xdr:from>
    <xdr:to>
      <xdr:col>20</xdr:col>
      <xdr:colOff>9525</xdr:colOff>
      <xdr:row>72</xdr:row>
      <xdr:rowOff>457200</xdr:rowOff>
    </xdr:to>
    <xdr:cxnSp macro="">
      <xdr:nvCxnSpPr>
        <xdr:cNvPr id="80" name="Прямая соединительная линия 79"/>
        <xdr:cNvCxnSpPr/>
      </xdr:nvCxnSpPr>
      <xdr:spPr>
        <a:xfrm flipV="1">
          <a:off x="24879300" y="63522225"/>
          <a:ext cx="588645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1739348</xdr:colOff>
      <xdr:row>74</xdr:row>
      <xdr:rowOff>411616</xdr:rowOff>
    </xdr:from>
    <xdr:to>
      <xdr:col>32</xdr:col>
      <xdr:colOff>595312</xdr:colOff>
      <xdr:row>74</xdr:row>
      <xdr:rowOff>411616</xdr:rowOff>
    </xdr:to>
    <xdr:cxnSp macro="">
      <xdr:nvCxnSpPr>
        <xdr:cNvPr id="81" name="Прямая соединительная линия 80"/>
        <xdr:cNvCxnSpPr/>
      </xdr:nvCxnSpPr>
      <xdr:spPr>
        <a:xfrm>
          <a:off x="32495573" y="65248291"/>
          <a:ext cx="7866614" cy="0"/>
        </a:xfrm>
        <a:prstGeom prst="line">
          <a:avLst/>
        </a:prstGeom>
        <a:ln w="1524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73</xdr:row>
      <xdr:rowOff>662609</xdr:rowOff>
    </xdr:from>
    <xdr:to>
      <xdr:col>20</xdr:col>
      <xdr:colOff>0</xdr:colOff>
      <xdr:row>73</xdr:row>
      <xdr:rowOff>662609</xdr:rowOff>
    </xdr:to>
    <xdr:cxnSp macro="">
      <xdr:nvCxnSpPr>
        <xdr:cNvPr id="82" name="Прямая соединительная линия 81"/>
        <xdr:cNvCxnSpPr/>
      </xdr:nvCxnSpPr>
      <xdr:spPr>
        <a:xfrm>
          <a:off x="28127325" y="64546784"/>
          <a:ext cx="262890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47</xdr:col>
      <xdr:colOff>304800</xdr:colOff>
      <xdr:row>10</xdr:row>
      <xdr:rowOff>0</xdr:rowOff>
    </xdr:from>
    <xdr:ext cx="155563" cy="253978"/>
    <xdr:sp macro="" textlink="">
      <xdr:nvSpPr>
        <xdr:cNvPr id="84" name="TextBox 83"/>
        <xdr:cNvSpPr txBox="1"/>
      </xdr:nvSpPr>
      <xdr:spPr>
        <a:xfrm>
          <a:off x="51882675" y="7724775"/>
          <a:ext cx="155563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21</xdr:col>
      <xdr:colOff>0</xdr:colOff>
      <xdr:row>72</xdr:row>
      <xdr:rowOff>419100</xdr:rowOff>
    </xdr:from>
    <xdr:to>
      <xdr:col>32</xdr:col>
      <xdr:colOff>571500</xdr:colOff>
      <xdr:row>72</xdr:row>
      <xdr:rowOff>419100</xdr:rowOff>
    </xdr:to>
    <xdr:cxnSp macro="">
      <xdr:nvCxnSpPr>
        <xdr:cNvPr id="85" name="Прямая соединительная линия 84"/>
        <xdr:cNvCxnSpPr/>
      </xdr:nvCxnSpPr>
      <xdr:spPr>
        <a:xfrm>
          <a:off x="32537400" y="63484125"/>
          <a:ext cx="7800975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42</xdr:row>
      <xdr:rowOff>484909</xdr:rowOff>
    </xdr:from>
    <xdr:to>
      <xdr:col>29</xdr:col>
      <xdr:colOff>634025</xdr:colOff>
      <xdr:row>42</xdr:row>
      <xdr:rowOff>484909</xdr:rowOff>
    </xdr:to>
    <xdr:cxnSp macro="">
      <xdr:nvCxnSpPr>
        <xdr:cNvPr id="87" name="Прямая соединительная линия 86"/>
        <xdr:cNvCxnSpPr/>
      </xdr:nvCxnSpPr>
      <xdr:spPr>
        <a:xfrm>
          <a:off x="32537400" y="35622634"/>
          <a:ext cx="5891825" cy="0"/>
        </a:xfrm>
        <a:prstGeom prst="line">
          <a:avLst/>
        </a:prstGeom>
        <a:ln w="15240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12515</xdr:rowOff>
    </xdr:from>
    <xdr:to>
      <xdr:col>20</xdr:col>
      <xdr:colOff>13734</xdr:colOff>
      <xdr:row>11</xdr:row>
      <xdr:rowOff>12515</xdr:rowOff>
    </xdr:to>
    <xdr:cxnSp macro="">
      <xdr:nvCxnSpPr>
        <xdr:cNvPr id="88" name="Прямая соединительная линия 87"/>
        <xdr:cNvCxnSpPr/>
      </xdr:nvCxnSpPr>
      <xdr:spPr>
        <a:xfrm>
          <a:off x="24841200" y="8556440"/>
          <a:ext cx="5928759" cy="0"/>
        </a:xfrm>
        <a:prstGeom prst="line">
          <a:avLst/>
        </a:prstGeom>
        <a:ln w="1524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41414</xdr:colOff>
      <xdr:row>20</xdr:row>
      <xdr:rowOff>38885</xdr:rowOff>
    </xdr:from>
    <xdr:to>
      <xdr:col>50</xdr:col>
      <xdr:colOff>0</xdr:colOff>
      <xdr:row>20</xdr:row>
      <xdr:rowOff>38885</xdr:rowOff>
    </xdr:to>
    <xdr:cxnSp macro="">
      <xdr:nvCxnSpPr>
        <xdr:cNvPr id="89" name="Прямая соединительная линия 88"/>
        <xdr:cNvCxnSpPr/>
      </xdr:nvCxnSpPr>
      <xdr:spPr>
        <a:xfrm>
          <a:off x="51619289" y="16355210"/>
          <a:ext cx="1930261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25</xdr:row>
      <xdr:rowOff>588124</xdr:rowOff>
    </xdr:from>
    <xdr:to>
      <xdr:col>33</xdr:col>
      <xdr:colOff>0</xdr:colOff>
      <xdr:row>25</xdr:row>
      <xdr:rowOff>588124</xdr:rowOff>
    </xdr:to>
    <xdr:cxnSp macro="">
      <xdr:nvCxnSpPr>
        <xdr:cNvPr id="90" name="Прямая соединительная линия 89"/>
        <xdr:cNvCxnSpPr/>
      </xdr:nvCxnSpPr>
      <xdr:spPr>
        <a:xfrm>
          <a:off x="32537400" y="21000199"/>
          <a:ext cx="7886700" cy="0"/>
        </a:xfrm>
        <a:prstGeom prst="line">
          <a:avLst/>
        </a:prstGeom>
        <a:ln w="152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4328</xdr:colOff>
      <xdr:row>10</xdr:row>
      <xdr:rowOff>1124810</xdr:rowOff>
    </xdr:from>
    <xdr:to>
      <xdr:col>33</xdr:col>
      <xdr:colOff>0</xdr:colOff>
      <xdr:row>10</xdr:row>
      <xdr:rowOff>1124810</xdr:rowOff>
    </xdr:to>
    <xdr:cxnSp macro="">
      <xdr:nvCxnSpPr>
        <xdr:cNvPr id="91" name="Прямая соединительная линия 90"/>
        <xdr:cNvCxnSpPr/>
      </xdr:nvCxnSpPr>
      <xdr:spPr>
        <a:xfrm>
          <a:off x="32541728" y="8544785"/>
          <a:ext cx="7882372" cy="0"/>
        </a:xfrm>
        <a:prstGeom prst="line">
          <a:avLst/>
        </a:prstGeom>
        <a:ln w="1524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47</xdr:col>
      <xdr:colOff>304800</xdr:colOff>
      <xdr:row>10</xdr:row>
      <xdr:rowOff>0</xdr:rowOff>
    </xdr:from>
    <xdr:ext cx="155563" cy="253978"/>
    <xdr:sp macro="" textlink="">
      <xdr:nvSpPr>
        <xdr:cNvPr id="92" name="TextBox 91"/>
        <xdr:cNvSpPr txBox="1"/>
      </xdr:nvSpPr>
      <xdr:spPr>
        <a:xfrm>
          <a:off x="51882675" y="7724775"/>
          <a:ext cx="155563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13</xdr:col>
      <xdr:colOff>38100</xdr:colOff>
      <xdr:row>17</xdr:row>
      <xdr:rowOff>495300</xdr:rowOff>
    </xdr:from>
    <xdr:to>
      <xdr:col>20</xdr:col>
      <xdr:colOff>12246</xdr:colOff>
      <xdr:row>17</xdr:row>
      <xdr:rowOff>574662</xdr:rowOff>
    </xdr:to>
    <xdr:cxnSp macro="">
      <xdr:nvCxnSpPr>
        <xdr:cNvPr id="93" name="Прямая соединительная линия 92"/>
        <xdr:cNvCxnSpPr/>
      </xdr:nvCxnSpPr>
      <xdr:spPr>
        <a:xfrm>
          <a:off x="24803100" y="14287500"/>
          <a:ext cx="4508046" cy="79362"/>
        </a:xfrm>
        <a:prstGeom prst="line">
          <a:avLst/>
        </a:prstGeom>
        <a:ln w="1524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25</xdr:row>
      <xdr:rowOff>614216</xdr:rowOff>
    </xdr:from>
    <xdr:to>
      <xdr:col>20</xdr:col>
      <xdr:colOff>3648</xdr:colOff>
      <xdr:row>25</xdr:row>
      <xdr:rowOff>614216</xdr:rowOff>
    </xdr:to>
    <xdr:cxnSp macro="">
      <xdr:nvCxnSpPr>
        <xdr:cNvPr id="94" name="Прямая соединительная линия 93"/>
        <xdr:cNvCxnSpPr/>
      </xdr:nvCxnSpPr>
      <xdr:spPr>
        <a:xfrm>
          <a:off x="28803600" y="21026291"/>
          <a:ext cx="1956273" cy="0"/>
        </a:xfrm>
        <a:prstGeom prst="line">
          <a:avLst/>
        </a:prstGeom>
        <a:ln w="152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4922</xdr:colOff>
      <xdr:row>28</xdr:row>
      <xdr:rowOff>591436</xdr:rowOff>
    </xdr:from>
    <xdr:to>
      <xdr:col>32</xdr:col>
      <xdr:colOff>622788</xdr:colOff>
      <xdr:row>28</xdr:row>
      <xdr:rowOff>591436</xdr:rowOff>
    </xdr:to>
    <xdr:cxnSp macro="">
      <xdr:nvCxnSpPr>
        <xdr:cNvPr id="95" name="Прямая соединительная линия 94"/>
        <xdr:cNvCxnSpPr/>
      </xdr:nvCxnSpPr>
      <xdr:spPr>
        <a:xfrm>
          <a:off x="32542322" y="23594311"/>
          <a:ext cx="7847341" cy="0"/>
        </a:xfrm>
        <a:prstGeom prst="line">
          <a:avLst/>
        </a:prstGeom>
        <a:ln w="152400">
          <a:solidFill>
            <a:srgbClr val="00B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621196</xdr:colOff>
      <xdr:row>22</xdr:row>
      <xdr:rowOff>48936</xdr:rowOff>
    </xdr:from>
    <xdr:to>
      <xdr:col>20</xdr:col>
      <xdr:colOff>10623</xdr:colOff>
      <xdr:row>22</xdr:row>
      <xdr:rowOff>48936</xdr:rowOff>
    </xdr:to>
    <xdr:cxnSp macro="">
      <xdr:nvCxnSpPr>
        <xdr:cNvPr id="96" name="Прямая соединительная линия 95"/>
        <xdr:cNvCxnSpPr/>
      </xdr:nvCxnSpPr>
      <xdr:spPr>
        <a:xfrm>
          <a:off x="28748521" y="18003561"/>
          <a:ext cx="2018327" cy="0"/>
        </a:xfrm>
        <a:prstGeom prst="line">
          <a:avLst/>
        </a:prstGeom>
        <a:ln w="152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29</xdr:row>
      <xdr:rowOff>607770</xdr:rowOff>
    </xdr:from>
    <xdr:to>
      <xdr:col>27</xdr:col>
      <xdr:colOff>146538</xdr:colOff>
      <xdr:row>29</xdr:row>
      <xdr:rowOff>607770</xdr:rowOff>
    </xdr:to>
    <xdr:cxnSp macro="">
      <xdr:nvCxnSpPr>
        <xdr:cNvPr id="97" name="Прямая соединительная линия 96"/>
        <xdr:cNvCxnSpPr/>
      </xdr:nvCxnSpPr>
      <xdr:spPr>
        <a:xfrm>
          <a:off x="34509075" y="24563145"/>
          <a:ext cx="2118213" cy="0"/>
        </a:xfrm>
        <a:prstGeom prst="line">
          <a:avLst/>
        </a:prstGeom>
        <a:ln w="152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30</xdr:row>
      <xdr:rowOff>623240</xdr:rowOff>
    </xdr:from>
    <xdr:to>
      <xdr:col>32</xdr:col>
      <xdr:colOff>637096</xdr:colOff>
      <xdr:row>30</xdr:row>
      <xdr:rowOff>623240</xdr:rowOff>
    </xdr:to>
    <xdr:cxnSp macro="">
      <xdr:nvCxnSpPr>
        <xdr:cNvPr id="98" name="Прямая соединительная линия 97"/>
        <xdr:cNvCxnSpPr/>
      </xdr:nvCxnSpPr>
      <xdr:spPr>
        <a:xfrm>
          <a:off x="32537400" y="25531115"/>
          <a:ext cx="7866571" cy="0"/>
        </a:xfrm>
        <a:prstGeom prst="line">
          <a:avLst/>
        </a:prstGeom>
        <a:ln w="152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12</xdr:row>
      <xdr:rowOff>467042</xdr:rowOff>
    </xdr:from>
    <xdr:to>
      <xdr:col>15</xdr:col>
      <xdr:colOff>15648</xdr:colOff>
      <xdr:row>12</xdr:row>
      <xdr:rowOff>467042</xdr:rowOff>
    </xdr:to>
    <xdr:cxnSp macro="">
      <xdr:nvCxnSpPr>
        <xdr:cNvPr id="99" name="Прямая соединительная линия 98"/>
        <xdr:cNvCxnSpPr/>
      </xdr:nvCxnSpPr>
      <xdr:spPr>
        <a:xfrm>
          <a:off x="25498426" y="9830117"/>
          <a:ext cx="1987322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-1</xdr:colOff>
      <xdr:row>16</xdr:row>
      <xdr:rowOff>58373</xdr:rowOff>
    </xdr:from>
    <xdr:to>
      <xdr:col>13</xdr:col>
      <xdr:colOff>613262</xdr:colOff>
      <xdr:row>16</xdr:row>
      <xdr:rowOff>58373</xdr:rowOff>
    </xdr:to>
    <xdr:cxnSp macro="">
      <xdr:nvCxnSpPr>
        <xdr:cNvPr id="100" name="Прямая соединительная линия 99"/>
        <xdr:cNvCxnSpPr/>
      </xdr:nvCxnSpPr>
      <xdr:spPr>
        <a:xfrm>
          <a:off x="25551847" y="12813590"/>
          <a:ext cx="1275872" cy="0"/>
        </a:xfrm>
        <a:prstGeom prst="line">
          <a:avLst/>
        </a:prstGeom>
        <a:ln w="15240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14</xdr:row>
      <xdr:rowOff>53593</xdr:rowOff>
    </xdr:from>
    <xdr:to>
      <xdr:col>18</xdr:col>
      <xdr:colOff>0</xdr:colOff>
      <xdr:row>14</xdr:row>
      <xdr:rowOff>53593</xdr:rowOff>
    </xdr:to>
    <xdr:cxnSp macro="">
      <xdr:nvCxnSpPr>
        <xdr:cNvPr id="101" name="Прямая соединительная линия 100"/>
        <xdr:cNvCxnSpPr/>
      </xdr:nvCxnSpPr>
      <xdr:spPr>
        <a:xfrm>
          <a:off x="27470100" y="11188318"/>
          <a:ext cx="1971675" cy="0"/>
        </a:xfrm>
        <a:prstGeom prst="line">
          <a:avLst/>
        </a:prstGeom>
        <a:ln w="15240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41413</xdr:colOff>
      <xdr:row>18</xdr:row>
      <xdr:rowOff>538028</xdr:rowOff>
    </xdr:from>
    <xdr:to>
      <xdr:col>20</xdr:col>
      <xdr:colOff>12246</xdr:colOff>
      <xdr:row>18</xdr:row>
      <xdr:rowOff>538370</xdr:rowOff>
    </xdr:to>
    <xdr:cxnSp macro="">
      <xdr:nvCxnSpPr>
        <xdr:cNvPr id="102" name="Прямая соединительная линия 101"/>
        <xdr:cNvCxnSpPr/>
      </xdr:nvCxnSpPr>
      <xdr:spPr>
        <a:xfrm flipV="1">
          <a:off x="28906304" y="15074006"/>
          <a:ext cx="1958659" cy="342"/>
        </a:xfrm>
        <a:prstGeom prst="line">
          <a:avLst/>
        </a:prstGeom>
        <a:ln w="152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82827</xdr:colOff>
      <xdr:row>28</xdr:row>
      <xdr:rowOff>583626</xdr:rowOff>
    </xdr:from>
    <xdr:to>
      <xdr:col>20</xdr:col>
      <xdr:colOff>170596</xdr:colOff>
      <xdr:row>28</xdr:row>
      <xdr:rowOff>583626</xdr:rowOff>
    </xdr:to>
    <xdr:cxnSp macro="">
      <xdr:nvCxnSpPr>
        <xdr:cNvPr id="103" name="Прямая соединительная линия 102"/>
        <xdr:cNvCxnSpPr/>
      </xdr:nvCxnSpPr>
      <xdr:spPr>
        <a:xfrm>
          <a:off x="28947718" y="23650691"/>
          <a:ext cx="2075595" cy="0"/>
        </a:xfrm>
        <a:prstGeom prst="line">
          <a:avLst/>
        </a:prstGeom>
        <a:ln w="152400">
          <a:solidFill>
            <a:srgbClr val="00B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75431</xdr:colOff>
      <xdr:row>29</xdr:row>
      <xdr:rowOff>528470</xdr:rowOff>
    </xdr:from>
    <xdr:to>
      <xdr:col>19</xdr:col>
      <xdr:colOff>580031</xdr:colOff>
      <xdr:row>29</xdr:row>
      <xdr:rowOff>528470</xdr:rowOff>
    </xdr:to>
    <xdr:cxnSp macro="">
      <xdr:nvCxnSpPr>
        <xdr:cNvPr id="104" name="Прямая соединительная линия 103"/>
        <xdr:cNvCxnSpPr/>
      </xdr:nvCxnSpPr>
      <xdr:spPr>
        <a:xfrm>
          <a:off x="28764731" y="24836270"/>
          <a:ext cx="1800000" cy="0"/>
        </a:xfrm>
        <a:prstGeom prst="line">
          <a:avLst/>
        </a:prstGeom>
        <a:ln w="152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30</xdr:row>
      <xdr:rowOff>574661</xdr:rowOff>
    </xdr:from>
    <xdr:to>
      <xdr:col>20</xdr:col>
      <xdr:colOff>19050</xdr:colOff>
      <xdr:row>30</xdr:row>
      <xdr:rowOff>574661</xdr:rowOff>
    </xdr:to>
    <xdr:cxnSp macro="">
      <xdr:nvCxnSpPr>
        <xdr:cNvPr id="105" name="Прямая соединительная линия 104"/>
        <xdr:cNvCxnSpPr/>
      </xdr:nvCxnSpPr>
      <xdr:spPr>
        <a:xfrm>
          <a:off x="28784550" y="25482536"/>
          <a:ext cx="1990725" cy="0"/>
        </a:xfrm>
        <a:prstGeom prst="line">
          <a:avLst/>
        </a:prstGeom>
        <a:ln w="152400">
          <a:solidFill>
            <a:schemeClr val="accent6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32</xdr:row>
      <xdr:rowOff>38885</xdr:rowOff>
    </xdr:from>
    <xdr:to>
      <xdr:col>19</xdr:col>
      <xdr:colOff>652556</xdr:colOff>
      <xdr:row>32</xdr:row>
      <xdr:rowOff>38885</xdr:rowOff>
    </xdr:to>
    <xdr:cxnSp macro="">
      <xdr:nvCxnSpPr>
        <xdr:cNvPr id="106" name="Прямая соединительная линия 105"/>
        <xdr:cNvCxnSpPr/>
      </xdr:nvCxnSpPr>
      <xdr:spPr>
        <a:xfrm>
          <a:off x="28784550" y="26718410"/>
          <a:ext cx="1967006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36634</xdr:colOff>
      <xdr:row>18</xdr:row>
      <xdr:rowOff>538028</xdr:rowOff>
    </xdr:from>
    <xdr:to>
      <xdr:col>28</xdr:col>
      <xdr:colOff>0</xdr:colOff>
      <xdr:row>18</xdr:row>
      <xdr:rowOff>538370</xdr:rowOff>
    </xdr:to>
    <xdr:cxnSp macro="">
      <xdr:nvCxnSpPr>
        <xdr:cNvPr id="107" name="Прямая соединительная линия 106"/>
        <xdr:cNvCxnSpPr/>
      </xdr:nvCxnSpPr>
      <xdr:spPr>
        <a:xfrm>
          <a:off x="32670112" y="15074006"/>
          <a:ext cx="4601627" cy="342"/>
        </a:xfrm>
        <a:prstGeom prst="line">
          <a:avLst/>
        </a:prstGeom>
        <a:ln w="152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20</xdr:row>
      <xdr:rowOff>38885</xdr:rowOff>
    </xdr:from>
    <xdr:to>
      <xdr:col>32</xdr:col>
      <xdr:colOff>622788</xdr:colOff>
      <xdr:row>20</xdr:row>
      <xdr:rowOff>38885</xdr:rowOff>
    </xdr:to>
    <xdr:cxnSp macro="">
      <xdr:nvCxnSpPr>
        <xdr:cNvPr id="108" name="Прямая соединительная линия 107"/>
        <xdr:cNvCxnSpPr/>
      </xdr:nvCxnSpPr>
      <xdr:spPr>
        <a:xfrm>
          <a:off x="32537400" y="16355210"/>
          <a:ext cx="7852263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22</xdr:row>
      <xdr:rowOff>72749</xdr:rowOff>
    </xdr:from>
    <xdr:to>
      <xdr:col>33</xdr:col>
      <xdr:colOff>0</xdr:colOff>
      <xdr:row>22</xdr:row>
      <xdr:rowOff>72749</xdr:rowOff>
    </xdr:to>
    <xdr:cxnSp macro="">
      <xdr:nvCxnSpPr>
        <xdr:cNvPr id="109" name="Прямая соединительная линия 108"/>
        <xdr:cNvCxnSpPr/>
      </xdr:nvCxnSpPr>
      <xdr:spPr>
        <a:xfrm>
          <a:off x="32537400" y="18027374"/>
          <a:ext cx="7886700" cy="0"/>
        </a:xfrm>
        <a:prstGeom prst="line">
          <a:avLst/>
        </a:prstGeom>
        <a:ln w="152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-1</xdr:colOff>
      <xdr:row>24</xdr:row>
      <xdr:rowOff>2250</xdr:rowOff>
    </xdr:from>
    <xdr:to>
      <xdr:col>32</xdr:col>
      <xdr:colOff>622788</xdr:colOff>
      <xdr:row>24</xdr:row>
      <xdr:rowOff>2250</xdr:rowOff>
    </xdr:to>
    <xdr:cxnSp macro="">
      <xdr:nvCxnSpPr>
        <xdr:cNvPr id="110" name="Прямая соединительная линия 109"/>
        <xdr:cNvCxnSpPr/>
      </xdr:nvCxnSpPr>
      <xdr:spPr>
        <a:xfrm>
          <a:off x="32537399" y="19595175"/>
          <a:ext cx="7852264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-1</xdr:colOff>
      <xdr:row>32</xdr:row>
      <xdr:rowOff>38884</xdr:rowOff>
    </xdr:from>
    <xdr:to>
      <xdr:col>45</xdr:col>
      <xdr:colOff>622789</xdr:colOff>
      <xdr:row>32</xdr:row>
      <xdr:rowOff>38884</xdr:rowOff>
    </xdr:to>
    <xdr:cxnSp macro="">
      <xdr:nvCxnSpPr>
        <xdr:cNvPr id="111" name="Прямая соединительная линия 110"/>
        <xdr:cNvCxnSpPr/>
      </xdr:nvCxnSpPr>
      <xdr:spPr>
        <a:xfrm>
          <a:off x="42119549" y="26718409"/>
          <a:ext cx="7852265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-1</xdr:colOff>
      <xdr:row>33</xdr:row>
      <xdr:rowOff>588403</xdr:rowOff>
    </xdr:from>
    <xdr:to>
      <xdr:col>32</xdr:col>
      <xdr:colOff>622788</xdr:colOff>
      <xdr:row>33</xdr:row>
      <xdr:rowOff>588403</xdr:rowOff>
    </xdr:to>
    <xdr:cxnSp macro="">
      <xdr:nvCxnSpPr>
        <xdr:cNvPr id="112" name="Прямая соединительная линия 111"/>
        <xdr:cNvCxnSpPr/>
      </xdr:nvCxnSpPr>
      <xdr:spPr>
        <a:xfrm>
          <a:off x="32537399" y="28087078"/>
          <a:ext cx="7852264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34</xdr:row>
      <xdr:rowOff>624759</xdr:rowOff>
    </xdr:from>
    <xdr:to>
      <xdr:col>33</xdr:col>
      <xdr:colOff>0</xdr:colOff>
      <xdr:row>34</xdr:row>
      <xdr:rowOff>624759</xdr:rowOff>
    </xdr:to>
    <xdr:cxnSp macro="">
      <xdr:nvCxnSpPr>
        <xdr:cNvPr id="113" name="Прямая соединительная линия 112"/>
        <xdr:cNvCxnSpPr/>
      </xdr:nvCxnSpPr>
      <xdr:spPr>
        <a:xfrm>
          <a:off x="32537400" y="29075934"/>
          <a:ext cx="7886700" cy="0"/>
        </a:xfrm>
        <a:prstGeom prst="line">
          <a:avLst/>
        </a:prstGeom>
        <a:ln w="152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41557</xdr:colOff>
      <xdr:row>28</xdr:row>
      <xdr:rowOff>591436</xdr:rowOff>
    </xdr:from>
    <xdr:to>
      <xdr:col>45</xdr:col>
      <xdr:colOff>621196</xdr:colOff>
      <xdr:row>28</xdr:row>
      <xdr:rowOff>591436</xdr:rowOff>
    </xdr:to>
    <xdr:cxnSp macro="">
      <xdr:nvCxnSpPr>
        <xdr:cNvPr id="114" name="Прямая соединительная линия 113"/>
        <xdr:cNvCxnSpPr/>
      </xdr:nvCxnSpPr>
      <xdr:spPr>
        <a:xfrm>
          <a:off x="42161107" y="23594311"/>
          <a:ext cx="7809114" cy="0"/>
        </a:xfrm>
        <a:prstGeom prst="line">
          <a:avLst/>
        </a:prstGeom>
        <a:ln w="152400">
          <a:solidFill>
            <a:srgbClr val="00B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30</xdr:row>
      <xdr:rowOff>623240</xdr:rowOff>
    </xdr:from>
    <xdr:to>
      <xdr:col>45</xdr:col>
      <xdr:colOff>637096</xdr:colOff>
      <xdr:row>30</xdr:row>
      <xdr:rowOff>623240</xdr:rowOff>
    </xdr:to>
    <xdr:cxnSp macro="">
      <xdr:nvCxnSpPr>
        <xdr:cNvPr id="115" name="Прямая соединительная линия 114"/>
        <xdr:cNvCxnSpPr/>
      </xdr:nvCxnSpPr>
      <xdr:spPr>
        <a:xfrm>
          <a:off x="42119550" y="25531115"/>
          <a:ext cx="7866571" cy="0"/>
        </a:xfrm>
        <a:prstGeom prst="line">
          <a:avLst/>
        </a:prstGeom>
        <a:ln w="152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20</xdr:row>
      <xdr:rowOff>38885</xdr:rowOff>
    </xdr:from>
    <xdr:to>
      <xdr:col>45</xdr:col>
      <xdr:colOff>619125</xdr:colOff>
      <xdr:row>20</xdr:row>
      <xdr:rowOff>38885</xdr:rowOff>
    </xdr:to>
    <xdr:cxnSp macro="">
      <xdr:nvCxnSpPr>
        <xdr:cNvPr id="116" name="Прямая соединительная линия 115"/>
        <xdr:cNvCxnSpPr/>
      </xdr:nvCxnSpPr>
      <xdr:spPr>
        <a:xfrm>
          <a:off x="42119550" y="16355210"/>
          <a:ext cx="784860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72749</xdr:rowOff>
    </xdr:from>
    <xdr:to>
      <xdr:col>46</xdr:col>
      <xdr:colOff>0</xdr:colOff>
      <xdr:row>22</xdr:row>
      <xdr:rowOff>72749</xdr:rowOff>
    </xdr:to>
    <xdr:cxnSp macro="">
      <xdr:nvCxnSpPr>
        <xdr:cNvPr id="117" name="Прямая соединительная линия 116"/>
        <xdr:cNvCxnSpPr/>
      </xdr:nvCxnSpPr>
      <xdr:spPr>
        <a:xfrm>
          <a:off x="42119550" y="18027374"/>
          <a:ext cx="7886700" cy="0"/>
        </a:xfrm>
        <a:prstGeom prst="line">
          <a:avLst/>
        </a:prstGeom>
        <a:ln w="152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1830</xdr:colOff>
      <xdr:row>24</xdr:row>
      <xdr:rowOff>26063</xdr:rowOff>
    </xdr:from>
    <xdr:to>
      <xdr:col>45</xdr:col>
      <xdr:colOff>659580</xdr:colOff>
      <xdr:row>24</xdr:row>
      <xdr:rowOff>26063</xdr:rowOff>
    </xdr:to>
    <xdr:cxnSp macro="">
      <xdr:nvCxnSpPr>
        <xdr:cNvPr id="118" name="Прямая соединительная линия 117"/>
        <xdr:cNvCxnSpPr/>
      </xdr:nvCxnSpPr>
      <xdr:spPr>
        <a:xfrm>
          <a:off x="42121380" y="19618988"/>
          <a:ext cx="7887225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26908</xdr:colOff>
      <xdr:row>25</xdr:row>
      <xdr:rowOff>588124</xdr:rowOff>
    </xdr:from>
    <xdr:to>
      <xdr:col>46</xdr:col>
      <xdr:colOff>17908</xdr:colOff>
      <xdr:row>25</xdr:row>
      <xdr:rowOff>588124</xdr:rowOff>
    </xdr:to>
    <xdr:cxnSp macro="">
      <xdr:nvCxnSpPr>
        <xdr:cNvPr id="119" name="Прямая соединительная линия 118"/>
        <xdr:cNvCxnSpPr/>
      </xdr:nvCxnSpPr>
      <xdr:spPr>
        <a:xfrm>
          <a:off x="42146458" y="21000199"/>
          <a:ext cx="7877700" cy="0"/>
        </a:xfrm>
        <a:prstGeom prst="line">
          <a:avLst/>
        </a:prstGeom>
        <a:ln w="152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-1</xdr:colOff>
      <xdr:row>32</xdr:row>
      <xdr:rowOff>38884</xdr:rowOff>
    </xdr:from>
    <xdr:to>
      <xdr:col>32</xdr:col>
      <xdr:colOff>622788</xdr:colOff>
      <xdr:row>32</xdr:row>
      <xdr:rowOff>38884</xdr:rowOff>
    </xdr:to>
    <xdr:cxnSp macro="">
      <xdr:nvCxnSpPr>
        <xdr:cNvPr id="120" name="Прямая соединительная линия 119"/>
        <xdr:cNvCxnSpPr/>
      </xdr:nvCxnSpPr>
      <xdr:spPr>
        <a:xfrm>
          <a:off x="32537399" y="26718409"/>
          <a:ext cx="7852264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-1</xdr:colOff>
      <xdr:row>33</xdr:row>
      <xdr:rowOff>551769</xdr:rowOff>
    </xdr:from>
    <xdr:to>
      <xdr:col>45</xdr:col>
      <xdr:colOff>622789</xdr:colOff>
      <xdr:row>33</xdr:row>
      <xdr:rowOff>551769</xdr:rowOff>
    </xdr:to>
    <xdr:cxnSp macro="">
      <xdr:nvCxnSpPr>
        <xdr:cNvPr id="121" name="Прямая соединительная линия 120"/>
        <xdr:cNvCxnSpPr/>
      </xdr:nvCxnSpPr>
      <xdr:spPr>
        <a:xfrm>
          <a:off x="42119549" y="28050444"/>
          <a:ext cx="7852265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32</xdr:row>
      <xdr:rowOff>38884</xdr:rowOff>
    </xdr:from>
    <xdr:to>
      <xdr:col>56</xdr:col>
      <xdr:colOff>0</xdr:colOff>
      <xdr:row>32</xdr:row>
      <xdr:rowOff>38884</xdr:rowOff>
    </xdr:to>
    <xdr:cxnSp macro="">
      <xdr:nvCxnSpPr>
        <xdr:cNvPr id="122" name="Прямая соединительная линия 121"/>
        <xdr:cNvCxnSpPr/>
      </xdr:nvCxnSpPr>
      <xdr:spPr>
        <a:xfrm>
          <a:off x="51577875" y="26718409"/>
          <a:ext cx="5915025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33</xdr:row>
      <xdr:rowOff>551769</xdr:rowOff>
    </xdr:from>
    <xdr:to>
      <xdr:col>56</xdr:col>
      <xdr:colOff>38100</xdr:colOff>
      <xdr:row>33</xdr:row>
      <xdr:rowOff>551769</xdr:rowOff>
    </xdr:to>
    <xdr:cxnSp macro="">
      <xdr:nvCxnSpPr>
        <xdr:cNvPr id="123" name="Прямая соединительная линия 122"/>
        <xdr:cNvCxnSpPr/>
      </xdr:nvCxnSpPr>
      <xdr:spPr>
        <a:xfrm>
          <a:off x="49911000" y="28440969"/>
          <a:ext cx="586740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25643</xdr:colOff>
      <xdr:row>24</xdr:row>
      <xdr:rowOff>2250</xdr:rowOff>
    </xdr:from>
    <xdr:to>
      <xdr:col>56</xdr:col>
      <xdr:colOff>304800</xdr:colOff>
      <xdr:row>24</xdr:row>
      <xdr:rowOff>2250</xdr:rowOff>
    </xdr:to>
    <xdr:cxnSp macro="">
      <xdr:nvCxnSpPr>
        <xdr:cNvPr id="124" name="Прямая соединительная линия 123"/>
        <xdr:cNvCxnSpPr/>
      </xdr:nvCxnSpPr>
      <xdr:spPr>
        <a:xfrm>
          <a:off x="49936643" y="19890450"/>
          <a:ext cx="6108457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26908</xdr:colOff>
      <xdr:row>25</xdr:row>
      <xdr:rowOff>588124</xdr:rowOff>
    </xdr:from>
    <xdr:to>
      <xdr:col>58</xdr:col>
      <xdr:colOff>38100</xdr:colOff>
      <xdr:row>25</xdr:row>
      <xdr:rowOff>588124</xdr:rowOff>
    </xdr:to>
    <xdr:cxnSp macro="">
      <xdr:nvCxnSpPr>
        <xdr:cNvPr id="125" name="Прямая соединительная линия 124"/>
        <xdr:cNvCxnSpPr/>
      </xdr:nvCxnSpPr>
      <xdr:spPr>
        <a:xfrm>
          <a:off x="49937908" y="21314524"/>
          <a:ext cx="7135892" cy="0"/>
        </a:xfrm>
        <a:prstGeom prst="line">
          <a:avLst/>
        </a:prstGeom>
        <a:ln w="152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50</xdr:col>
      <xdr:colOff>304800</xdr:colOff>
      <xdr:row>36</xdr:row>
      <xdr:rowOff>0</xdr:rowOff>
    </xdr:from>
    <xdr:ext cx="155563" cy="253978"/>
    <xdr:sp macro="" textlink="">
      <xdr:nvSpPr>
        <xdr:cNvPr id="126" name="TextBox 125"/>
        <xdr:cNvSpPr txBox="1"/>
      </xdr:nvSpPr>
      <xdr:spPr>
        <a:xfrm>
          <a:off x="53854350" y="30222825"/>
          <a:ext cx="155563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5</xdr:col>
      <xdr:colOff>3241813</xdr:colOff>
      <xdr:row>27</xdr:row>
      <xdr:rowOff>107674</xdr:rowOff>
    </xdr:from>
    <xdr:to>
      <xdr:col>5</xdr:col>
      <xdr:colOff>3778676</xdr:colOff>
      <xdr:row>27</xdr:row>
      <xdr:rowOff>679173</xdr:rowOff>
    </xdr:to>
    <xdr:sp macro="" textlink="">
      <xdr:nvSpPr>
        <xdr:cNvPr id="127" name="7-конечная звезда 126"/>
        <xdr:cNvSpPr/>
      </xdr:nvSpPr>
      <xdr:spPr bwMode="auto">
        <a:xfrm>
          <a:off x="15662413" y="22291399"/>
          <a:ext cx="536863" cy="571499"/>
        </a:xfrm>
        <a:prstGeom prst="star7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ru-RU"/>
        </a:p>
      </xdr:txBody>
    </xdr:sp>
    <xdr:clientData/>
  </xdr:twoCellAnchor>
  <xdr:twoCellAnchor>
    <xdr:from>
      <xdr:col>3</xdr:col>
      <xdr:colOff>24246</xdr:colOff>
      <xdr:row>114</xdr:row>
      <xdr:rowOff>467589</xdr:rowOff>
    </xdr:from>
    <xdr:to>
      <xdr:col>3</xdr:col>
      <xdr:colOff>557646</xdr:colOff>
      <xdr:row>114</xdr:row>
      <xdr:rowOff>994584</xdr:rowOff>
    </xdr:to>
    <xdr:sp macro="" textlink="">
      <xdr:nvSpPr>
        <xdr:cNvPr id="128" name="Блок-схема: сопоставление 127"/>
        <xdr:cNvSpPr/>
      </xdr:nvSpPr>
      <xdr:spPr>
        <a:xfrm>
          <a:off x="4234296" y="110509914"/>
          <a:ext cx="533400" cy="526995"/>
        </a:xfrm>
        <a:prstGeom prst="flowChartCollate">
          <a:avLst/>
        </a:prstGeom>
        <a:solidFill>
          <a:srgbClr val="FF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</xdr:col>
      <xdr:colOff>658090</xdr:colOff>
      <xdr:row>113</xdr:row>
      <xdr:rowOff>495300</xdr:rowOff>
    </xdr:from>
    <xdr:to>
      <xdr:col>44</xdr:col>
      <xdr:colOff>550717</xdr:colOff>
      <xdr:row>116</xdr:row>
      <xdr:rowOff>38100</xdr:rowOff>
    </xdr:to>
    <xdr:sp macro="" textlink="">
      <xdr:nvSpPr>
        <xdr:cNvPr id="129" name="TextBox 128"/>
        <xdr:cNvSpPr txBox="1"/>
      </xdr:nvSpPr>
      <xdr:spPr>
        <a:xfrm>
          <a:off x="4868140" y="109461300"/>
          <a:ext cx="44374377" cy="295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ru-RU" sz="3600" b="1">
              <a:latin typeface="Times New Roman" pitchFamily="18" charset="0"/>
              <a:cs typeface="Times New Roman" pitchFamily="18" charset="0"/>
            </a:rPr>
            <a:t>Условные обозначения:</a:t>
          </a:r>
        </a:p>
        <a:p>
          <a:pPr algn="l"/>
          <a:endParaRPr lang="ru-RU" sz="3600" b="1">
            <a:latin typeface="Times New Roman" pitchFamily="18" charset="0"/>
            <a:cs typeface="Times New Roman" pitchFamily="18" charset="0"/>
          </a:endParaRPr>
        </a:p>
        <a:p>
          <a:r>
            <a:rPr lang="ru-RU" sz="3600" b="1" baseline="0">
              <a:latin typeface="Times New Roman" pitchFamily="18" charset="0"/>
              <a:cs typeface="Times New Roman" pitchFamily="18" charset="0"/>
            </a:rPr>
            <a:t>- завершение конкурсных процедур - выбор подрядчика по первоочередным работам на станционной площадке Зарамагской ГЭС-1</a:t>
          </a:r>
        </a:p>
        <a:p>
          <a:endParaRPr lang="ru-RU" sz="3600" b="1">
            <a:latin typeface="Times New Roman" pitchFamily="18" charset="0"/>
            <a:cs typeface="Times New Roman" pitchFamily="18" charset="0"/>
          </a:endParaRPr>
        </a:p>
        <a:p>
          <a:r>
            <a:rPr lang="ru-RU" sz="3600" b="1">
              <a:latin typeface="Times New Roman" pitchFamily="18" charset="0"/>
              <a:cs typeface="Times New Roman" pitchFamily="18" charset="0"/>
            </a:rPr>
            <a:t>- СМР, не учтенные ССР, подлежат обязательному выполнению. Объемы и стоимость этих работ не включены в стоимость ГП работ </a:t>
          </a:r>
          <a:r>
            <a:rPr lang="ru-RU" sz="3600" b="1" baseline="0">
              <a:latin typeface="Times New Roman" pitchFamily="18" charset="0"/>
              <a:cs typeface="Times New Roman" pitchFamily="18" charset="0"/>
            </a:rPr>
            <a:t> и </a:t>
          </a:r>
          <a:r>
            <a:rPr lang="ru-RU" sz="3600" b="1">
              <a:latin typeface="Times New Roman" pitchFamily="18" charset="0"/>
              <a:cs typeface="Times New Roman" pitchFamily="18" charset="0"/>
            </a:rPr>
            <a:t> будут определены после выпуска ПСД.</a:t>
          </a:r>
        </a:p>
      </xdr:txBody>
    </xdr:sp>
    <xdr:clientData/>
  </xdr:twoCellAnchor>
  <xdr:twoCellAnchor>
    <xdr:from>
      <xdr:col>3</xdr:col>
      <xdr:colOff>0</xdr:colOff>
      <xdr:row>115</xdr:row>
      <xdr:rowOff>509154</xdr:rowOff>
    </xdr:from>
    <xdr:to>
      <xdr:col>3</xdr:col>
      <xdr:colOff>536863</xdr:colOff>
      <xdr:row>115</xdr:row>
      <xdr:rowOff>974149</xdr:rowOff>
    </xdr:to>
    <xdr:sp macro="" textlink="">
      <xdr:nvSpPr>
        <xdr:cNvPr id="130" name="7-конечная звезда 129"/>
        <xdr:cNvSpPr/>
      </xdr:nvSpPr>
      <xdr:spPr bwMode="auto">
        <a:xfrm>
          <a:off x="4210050" y="111627804"/>
          <a:ext cx="536863" cy="464995"/>
        </a:xfrm>
        <a:prstGeom prst="star7">
          <a:avLst/>
        </a:prstGeom>
        <a:solidFill>
          <a:srgbClr val="FF0000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ru-RU"/>
        </a:p>
      </xdr:txBody>
    </xdr:sp>
    <xdr:clientData/>
  </xdr:twoCellAnchor>
  <xdr:twoCellAnchor>
    <xdr:from>
      <xdr:col>13</xdr:col>
      <xdr:colOff>652670</xdr:colOff>
      <xdr:row>70</xdr:row>
      <xdr:rowOff>765313</xdr:rowOff>
    </xdr:from>
    <xdr:to>
      <xdr:col>16</xdr:col>
      <xdr:colOff>576470</xdr:colOff>
      <xdr:row>70</xdr:row>
      <xdr:rowOff>765313</xdr:rowOff>
    </xdr:to>
    <xdr:cxnSp macro="">
      <xdr:nvCxnSpPr>
        <xdr:cNvPr id="131" name="Прямая соединительная линия 130"/>
        <xdr:cNvCxnSpPr/>
      </xdr:nvCxnSpPr>
      <xdr:spPr>
        <a:xfrm>
          <a:off x="26808320" y="61582438"/>
          <a:ext cx="1895475" cy="0"/>
        </a:xfrm>
        <a:prstGeom prst="line">
          <a:avLst/>
        </a:prstGeom>
        <a:ln w="203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35277</xdr:colOff>
      <xdr:row>11</xdr:row>
      <xdr:rowOff>12515</xdr:rowOff>
    </xdr:from>
    <xdr:to>
      <xdr:col>41</xdr:col>
      <xdr:colOff>0</xdr:colOff>
      <xdr:row>11</xdr:row>
      <xdr:rowOff>12515</xdr:rowOff>
    </xdr:to>
    <xdr:cxnSp macro="">
      <xdr:nvCxnSpPr>
        <xdr:cNvPr id="132" name="Прямая соединительная линия 131"/>
        <xdr:cNvCxnSpPr/>
      </xdr:nvCxnSpPr>
      <xdr:spPr>
        <a:xfrm>
          <a:off x="42154827" y="8556440"/>
          <a:ext cx="4565298" cy="0"/>
        </a:xfrm>
        <a:prstGeom prst="line">
          <a:avLst/>
        </a:prstGeom>
        <a:ln w="1524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1568587</xdr:colOff>
      <xdr:row>22</xdr:row>
      <xdr:rowOff>48936</xdr:rowOff>
    </xdr:from>
    <xdr:to>
      <xdr:col>53</xdr:col>
      <xdr:colOff>0</xdr:colOff>
      <xdr:row>22</xdr:row>
      <xdr:rowOff>48936</xdr:rowOff>
    </xdr:to>
    <xdr:cxnSp macro="">
      <xdr:nvCxnSpPr>
        <xdr:cNvPr id="134" name="Прямая соединительная линия 133"/>
        <xdr:cNvCxnSpPr/>
      </xdr:nvCxnSpPr>
      <xdr:spPr>
        <a:xfrm>
          <a:off x="51574837" y="18003561"/>
          <a:ext cx="3946388" cy="0"/>
        </a:xfrm>
        <a:prstGeom prst="line">
          <a:avLst/>
        </a:prstGeom>
        <a:ln w="152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35277</xdr:colOff>
      <xdr:row>34</xdr:row>
      <xdr:rowOff>624759</xdr:rowOff>
    </xdr:from>
    <xdr:to>
      <xdr:col>46</xdr:col>
      <xdr:colOff>35278</xdr:colOff>
      <xdr:row>34</xdr:row>
      <xdr:rowOff>624759</xdr:rowOff>
    </xdr:to>
    <xdr:cxnSp macro="">
      <xdr:nvCxnSpPr>
        <xdr:cNvPr id="135" name="Прямая соединительная линия 134"/>
        <xdr:cNvCxnSpPr/>
      </xdr:nvCxnSpPr>
      <xdr:spPr>
        <a:xfrm>
          <a:off x="42154827" y="29075934"/>
          <a:ext cx="7886701" cy="0"/>
        </a:xfrm>
        <a:prstGeom prst="line">
          <a:avLst/>
        </a:prstGeom>
        <a:ln w="152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34017</xdr:colOff>
      <xdr:row>69</xdr:row>
      <xdr:rowOff>538163</xdr:rowOff>
    </xdr:from>
    <xdr:to>
      <xdr:col>33</xdr:col>
      <xdr:colOff>44067</xdr:colOff>
      <xdr:row>69</xdr:row>
      <xdr:rowOff>538163</xdr:rowOff>
    </xdr:to>
    <xdr:cxnSp macro="">
      <xdr:nvCxnSpPr>
        <xdr:cNvPr id="137" name="Прямая соединительная линия 136"/>
        <xdr:cNvCxnSpPr/>
      </xdr:nvCxnSpPr>
      <xdr:spPr>
        <a:xfrm>
          <a:off x="32571417" y="60402788"/>
          <a:ext cx="789675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34019</xdr:colOff>
      <xdr:row>72</xdr:row>
      <xdr:rowOff>419100</xdr:rowOff>
    </xdr:from>
    <xdr:to>
      <xdr:col>45</xdr:col>
      <xdr:colOff>605518</xdr:colOff>
      <xdr:row>72</xdr:row>
      <xdr:rowOff>419100</xdr:rowOff>
    </xdr:to>
    <xdr:cxnSp macro="">
      <xdr:nvCxnSpPr>
        <xdr:cNvPr id="138" name="Прямая соединительная линия 137"/>
        <xdr:cNvCxnSpPr/>
      </xdr:nvCxnSpPr>
      <xdr:spPr>
        <a:xfrm>
          <a:off x="40610519" y="64465200"/>
          <a:ext cx="7696199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634093</xdr:colOff>
      <xdr:row>62</xdr:row>
      <xdr:rowOff>435429</xdr:rowOff>
    </xdr:from>
    <xdr:to>
      <xdr:col>19</xdr:col>
      <xdr:colOff>586725</xdr:colOff>
      <xdr:row>62</xdr:row>
      <xdr:rowOff>435429</xdr:rowOff>
    </xdr:to>
    <xdr:cxnSp macro="">
      <xdr:nvCxnSpPr>
        <xdr:cNvPr id="139" name="Прямая соединительная линия 138"/>
        <xdr:cNvCxnSpPr/>
      </xdr:nvCxnSpPr>
      <xdr:spPr>
        <a:xfrm>
          <a:off x="23455993" y="53394429"/>
          <a:ext cx="5781932" cy="0"/>
        </a:xfrm>
        <a:prstGeom prst="line">
          <a:avLst/>
        </a:prstGeom>
        <a:ln w="1524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41414</xdr:colOff>
      <xdr:row>30</xdr:row>
      <xdr:rowOff>574661</xdr:rowOff>
    </xdr:from>
    <xdr:to>
      <xdr:col>53</xdr:col>
      <xdr:colOff>0</xdr:colOff>
      <xdr:row>30</xdr:row>
      <xdr:rowOff>574661</xdr:rowOff>
    </xdr:to>
    <xdr:cxnSp macro="">
      <xdr:nvCxnSpPr>
        <xdr:cNvPr id="141" name="Прямая соединительная линия 140"/>
        <xdr:cNvCxnSpPr/>
      </xdr:nvCxnSpPr>
      <xdr:spPr>
        <a:xfrm>
          <a:off x="51619289" y="25482536"/>
          <a:ext cx="3901936" cy="0"/>
        </a:xfrm>
        <a:prstGeom prst="line">
          <a:avLst/>
        </a:prstGeom>
        <a:ln w="152400">
          <a:solidFill>
            <a:schemeClr val="accent6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38</xdr:row>
      <xdr:rowOff>595313</xdr:rowOff>
    </xdr:from>
    <xdr:to>
      <xdr:col>14</xdr:col>
      <xdr:colOff>0</xdr:colOff>
      <xdr:row>38</xdr:row>
      <xdr:rowOff>595313</xdr:rowOff>
    </xdr:to>
    <xdr:cxnSp macro="">
      <xdr:nvCxnSpPr>
        <xdr:cNvPr id="142" name="Прямая соединительная линия 141"/>
        <xdr:cNvCxnSpPr/>
      </xdr:nvCxnSpPr>
      <xdr:spPr>
        <a:xfrm>
          <a:off x="24841200" y="32456438"/>
          <a:ext cx="1971675" cy="0"/>
        </a:xfrm>
        <a:prstGeom prst="line">
          <a:avLst/>
        </a:prstGeom>
        <a:ln w="1524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4303644</xdr:colOff>
      <xdr:row>94</xdr:row>
      <xdr:rowOff>882926</xdr:rowOff>
    </xdr:from>
    <xdr:to>
      <xdr:col>5</xdr:col>
      <xdr:colOff>4840507</xdr:colOff>
      <xdr:row>94</xdr:row>
      <xdr:rowOff>1347921</xdr:rowOff>
    </xdr:to>
    <xdr:sp macro="" textlink="">
      <xdr:nvSpPr>
        <xdr:cNvPr id="143" name="7-конечная звезда 142"/>
        <xdr:cNvSpPr/>
      </xdr:nvSpPr>
      <xdr:spPr bwMode="auto">
        <a:xfrm>
          <a:off x="16724244" y="85388726"/>
          <a:ext cx="536863" cy="464995"/>
        </a:xfrm>
        <a:prstGeom prst="star7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ru-RU"/>
        </a:p>
      </xdr:txBody>
    </xdr:sp>
    <xdr:clientData/>
  </xdr:twoCellAnchor>
  <xdr:twoCellAnchor>
    <xdr:from>
      <xdr:col>5</xdr:col>
      <xdr:colOff>4224131</xdr:colOff>
      <xdr:row>77</xdr:row>
      <xdr:rowOff>869673</xdr:rowOff>
    </xdr:from>
    <xdr:to>
      <xdr:col>5</xdr:col>
      <xdr:colOff>4760994</xdr:colOff>
      <xdr:row>77</xdr:row>
      <xdr:rowOff>1334668</xdr:rowOff>
    </xdr:to>
    <xdr:sp macro="" textlink="">
      <xdr:nvSpPr>
        <xdr:cNvPr id="144" name="7-конечная звезда 143"/>
        <xdr:cNvSpPr/>
      </xdr:nvSpPr>
      <xdr:spPr bwMode="auto">
        <a:xfrm>
          <a:off x="16644731" y="68011398"/>
          <a:ext cx="536863" cy="464995"/>
        </a:xfrm>
        <a:prstGeom prst="star7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ru-RU"/>
        </a:p>
      </xdr:txBody>
    </xdr:sp>
    <xdr:clientData/>
  </xdr:twoCellAnchor>
  <xdr:twoCellAnchor>
    <xdr:from>
      <xdr:col>55</xdr:col>
      <xdr:colOff>366345</xdr:colOff>
      <xdr:row>35</xdr:row>
      <xdr:rowOff>584385</xdr:rowOff>
    </xdr:from>
    <xdr:to>
      <xdr:col>58</xdr:col>
      <xdr:colOff>423495</xdr:colOff>
      <xdr:row>35</xdr:row>
      <xdr:rowOff>584385</xdr:rowOff>
    </xdr:to>
    <xdr:cxnSp macro="">
      <xdr:nvCxnSpPr>
        <xdr:cNvPr id="145" name="Прямая соединительная линия 144"/>
        <xdr:cNvCxnSpPr/>
      </xdr:nvCxnSpPr>
      <xdr:spPr>
        <a:xfrm>
          <a:off x="55458945" y="30264285"/>
          <a:ext cx="200025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452070</xdr:colOff>
      <xdr:row>26</xdr:row>
      <xdr:rowOff>651181</xdr:rowOff>
    </xdr:from>
    <xdr:to>
      <xdr:col>58</xdr:col>
      <xdr:colOff>431820</xdr:colOff>
      <xdr:row>26</xdr:row>
      <xdr:rowOff>651181</xdr:rowOff>
    </xdr:to>
    <xdr:cxnSp macro="">
      <xdr:nvCxnSpPr>
        <xdr:cNvPr id="146" name="Прямая соединительная линия 145"/>
        <xdr:cNvCxnSpPr/>
      </xdr:nvCxnSpPr>
      <xdr:spPr>
        <a:xfrm>
          <a:off x="55544670" y="22215781"/>
          <a:ext cx="192285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401381</xdr:colOff>
      <xdr:row>80</xdr:row>
      <xdr:rowOff>702366</xdr:rowOff>
    </xdr:from>
    <xdr:to>
      <xdr:col>58</xdr:col>
      <xdr:colOff>421821</xdr:colOff>
      <xdr:row>81</xdr:row>
      <xdr:rowOff>544286</xdr:rowOff>
    </xdr:to>
    <xdr:sp macro="" textlink="">
      <xdr:nvSpPr>
        <xdr:cNvPr id="149" name="TextBox 264"/>
        <xdr:cNvSpPr txBox="1">
          <a:spLocks noChangeArrowheads="1"/>
        </xdr:cNvSpPr>
      </xdr:nvSpPr>
      <xdr:spPr bwMode="auto">
        <a:xfrm>
          <a:off x="53142667" y="70847187"/>
          <a:ext cx="4592440" cy="658349"/>
        </a:xfrm>
        <a:prstGeom prst="rect">
          <a:avLst/>
        </a:prstGeom>
        <a:solidFill>
          <a:srgbClr val="C9DED5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Пуск гидроагрегата ГА-1</a:t>
          </a:r>
        </a:p>
      </xdr:txBody>
    </xdr:sp>
    <xdr:clientData/>
  </xdr:twoCellAnchor>
  <xdr:twoCellAnchor>
    <xdr:from>
      <xdr:col>51</xdr:col>
      <xdr:colOff>381000</xdr:colOff>
      <xdr:row>82</xdr:row>
      <xdr:rowOff>129956</xdr:rowOff>
    </xdr:from>
    <xdr:to>
      <xdr:col>58</xdr:col>
      <xdr:colOff>381000</xdr:colOff>
      <xdr:row>82</xdr:row>
      <xdr:rowOff>800100</xdr:rowOff>
    </xdr:to>
    <xdr:sp macro="" textlink="">
      <xdr:nvSpPr>
        <xdr:cNvPr id="150" name="TextBox 341"/>
        <xdr:cNvSpPr txBox="1">
          <a:spLocks noChangeArrowheads="1"/>
        </xdr:cNvSpPr>
      </xdr:nvSpPr>
      <xdr:spPr bwMode="auto">
        <a:xfrm>
          <a:off x="52882800" y="73243856"/>
          <a:ext cx="4533900" cy="670144"/>
        </a:xfrm>
        <a:prstGeom prst="rect">
          <a:avLst/>
        </a:prstGeom>
        <a:solidFill>
          <a:srgbClr val="C9DED5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Пуск гидроагрегата ГА-2</a:t>
          </a:r>
        </a:p>
      </xdr:txBody>
    </xdr:sp>
    <xdr:clientData/>
  </xdr:twoCellAnchor>
  <xdr:twoCellAnchor>
    <xdr:from>
      <xdr:col>47</xdr:col>
      <xdr:colOff>35277</xdr:colOff>
      <xdr:row>34</xdr:row>
      <xdr:rowOff>624759</xdr:rowOff>
    </xdr:from>
    <xdr:to>
      <xdr:col>56</xdr:col>
      <xdr:colOff>0</xdr:colOff>
      <xdr:row>34</xdr:row>
      <xdr:rowOff>624759</xdr:rowOff>
    </xdr:to>
    <xdr:cxnSp macro="">
      <xdr:nvCxnSpPr>
        <xdr:cNvPr id="152" name="Прямая соединительная линия 151"/>
        <xdr:cNvCxnSpPr/>
      </xdr:nvCxnSpPr>
      <xdr:spPr>
        <a:xfrm>
          <a:off x="49946277" y="29466459"/>
          <a:ext cx="5794023" cy="0"/>
        </a:xfrm>
        <a:prstGeom prst="line">
          <a:avLst/>
        </a:prstGeom>
        <a:ln w="152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84</xdr:row>
      <xdr:rowOff>762000</xdr:rowOff>
    </xdr:from>
    <xdr:to>
      <xdr:col>36</xdr:col>
      <xdr:colOff>638175</xdr:colOff>
      <xdr:row>84</xdr:row>
      <xdr:rowOff>762000</xdr:rowOff>
    </xdr:to>
    <xdr:sp macro="" textlink="">
      <xdr:nvSpPr>
        <xdr:cNvPr id="153" name="Line 206"/>
        <xdr:cNvSpPr>
          <a:spLocks noChangeShapeType="1"/>
        </xdr:cNvSpPr>
      </xdr:nvSpPr>
      <xdr:spPr bwMode="auto">
        <a:xfrm>
          <a:off x="42119550" y="74714100"/>
          <a:ext cx="1952625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654195</xdr:colOff>
      <xdr:row>84</xdr:row>
      <xdr:rowOff>807027</xdr:rowOff>
    </xdr:from>
    <xdr:to>
      <xdr:col>45</xdr:col>
      <xdr:colOff>651195</xdr:colOff>
      <xdr:row>84</xdr:row>
      <xdr:rowOff>807027</xdr:rowOff>
    </xdr:to>
    <xdr:cxnSp macro="">
      <xdr:nvCxnSpPr>
        <xdr:cNvPr id="154" name="Прямая соединительная линия 112"/>
        <xdr:cNvCxnSpPr/>
      </xdr:nvCxnSpPr>
      <xdr:spPr>
        <a:xfrm>
          <a:off x="47374320" y="74759127"/>
          <a:ext cx="2625900" cy="0"/>
        </a:xfrm>
        <a:prstGeom prst="line">
          <a:avLst/>
        </a:prstGeom>
        <a:ln w="1524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309563</xdr:colOff>
      <xdr:row>84</xdr:row>
      <xdr:rowOff>63273</xdr:rowOff>
    </xdr:from>
    <xdr:to>
      <xdr:col>38</xdr:col>
      <xdr:colOff>576263</xdr:colOff>
      <xdr:row>84</xdr:row>
      <xdr:rowOff>558573</xdr:rowOff>
    </xdr:to>
    <xdr:sp macro="" textlink="">
      <xdr:nvSpPr>
        <xdr:cNvPr id="155" name="TextBox 134"/>
        <xdr:cNvSpPr txBox="1">
          <a:spLocks noChangeArrowheads="1"/>
        </xdr:cNvSpPr>
      </xdr:nvSpPr>
      <xdr:spPr bwMode="auto">
        <a:xfrm>
          <a:off x="42429113" y="74015373"/>
          <a:ext cx="2895600" cy="495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Закладные части</a:t>
          </a:r>
        </a:p>
      </xdr:txBody>
    </xdr:sp>
    <xdr:clientData/>
  </xdr:twoCellAnchor>
  <xdr:twoCellAnchor>
    <xdr:from>
      <xdr:col>41</xdr:col>
      <xdr:colOff>165984</xdr:colOff>
      <xdr:row>84</xdr:row>
      <xdr:rowOff>103415</xdr:rowOff>
    </xdr:from>
    <xdr:to>
      <xdr:col>45</xdr:col>
      <xdr:colOff>551090</xdr:colOff>
      <xdr:row>84</xdr:row>
      <xdr:rowOff>582385</xdr:rowOff>
    </xdr:to>
    <xdr:sp macro="" textlink="">
      <xdr:nvSpPr>
        <xdr:cNvPr id="156" name="TextBox 134"/>
        <xdr:cNvSpPr txBox="1">
          <a:spLocks noChangeArrowheads="1"/>
        </xdr:cNvSpPr>
      </xdr:nvSpPr>
      <xdr:spPr bwMode="auto">
        <a:xfrm>
          <a:off x="46886109" y="74055515"/>
          <a:ext cx="3014006" cy="478970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Мехоборудование</a:t>
          </a:r>
        </a:p>
      </xdr:txBody>
    </xdr:sp>
    <xdr:clientData/>
  </xdr:twoCellAnchor>
  <xdr:twoCellAnchor>
    <xdr:from>
      <xdr:col>49</xdr:col>
      <xdr:colOff>550113</xdr:colOff>
      <xdr:row>86</xdr:row>
      <xdr:rowOff>544285</xdr:rowOff>
    </xdr:from>
    <xdr:to>
      <xdr:col>52</xdr:col>
      <xdr:colOff>585107</xdr:colOff>
      <xdr:row>87</xdr:row>
      <xdr:rowOff>775382</xdr:rowOff>
    </xdr:to>
    <xdr:cxnSp macro="">
      <xdr:nvCxnSpPr>
        <xdr:cNvPr id="157" name="Прямая со стрелкой 156"/>
        <xdr:cNvCxnSpPr>
          <a:stCxn id="158" idx="3"/>
        </xdr:cNvCxnSpPr>
      </xdr:nvCxnSpPr>
      <xdr:spPr>
        <a:xfrm flipV="1">
          <a:off x="51985113" y="76131964"/>
          <a:ext cx="1994423" cy="1183597"/>
        </a:xfrm>
        <a:prstGeom prst="straightConnector1">
          <a:avLst/>
        </a:prstGeom>
        <a:ln w="38100"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177450</xdr:colOff>
      <xdr:row>87</xdr:row>
      <xdr:rowOff>494244</xdr:rowOff>
    </xdr:from>
    <xdr:to>
      <xdr:col>49</xdr:col>
      <xdr:colOff>550113</xdr:colOff>
      <xdr:row>88</xdr:row>
      <xdr:rowOff>240091</xdr:rowOff>
    </xdr:to>
    <xdr:sp macro="" textlink="">
      <xdr:nvSpPr>
        <xdr:cNvPr id="158" name="TextBox 157"/>
        <xdr:cNvSpPr txBox="1"/>
      </xdr:nvSpPr>
      <xdr:spPr>
        <a:xfrm>
          <a:off x="50959307" y="77034423"/>
          <a:ext cx="1025806" cy="5622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2800" baseline="0">
              <a:latin typeface="Times New Roman" pitchFamily="18" charset="0"/>
              <a:cs typeface="Times New Roman" pitchFamily="18" charset="0"/>
            </a:rPr>
            <a:t>ГА-2</a:t>
          </a:r>
          <a:endParaRPr lang="ru-RU" sz="2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47</xdr:col>
      <xdr:colOff>16449</xdr:colOff>
      <xdr:row>86</xdr:row>
      <xdr:rowOff>195262</xdr:rowOff>
    </xdr:from>
    <xdr:to>
      <xdr:col>56</xdr:col>
      <xdr:colOff>427326</xdr:colOff>
      <xdr:row>86</xdr:row>
      <xdr:rowOff>195262</xdr:rowOff>
    </xdr:to>
    <xdr:cxnSp macro="">
      <xdr:nvCxnSpPr>
        <xdr:cNvPr id="159" name="Прямая соединительная линия 128"/>
        <xdr:cNvCxnSpPr/>
      </xdr:nvCxnSpPr>
      <xdr:spPr>
        <a:xfrm flipV="1">
          <a:off x="49927449" y="77004862"/>
          <a:ext cx="6240177" cy="0"/>
        </a:xfrm>
        <a:prstGeom prst="line">
          <a:avLst/>
        </a:prstGeom>
        <a:ln w="152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85</xdr:row>
      <xdr:rowOff>505692</xdr:rowOff>
    </xdr:from>
    <xdr:to>
      <xdr:col>46</xdr:col>
      <xdr:colOff>600</xdr:colOff>
      <xdr:row>85</xdr:row>
      <xdr:rowOff>505692</xdr:rowOff>
    </xdr:to>
    <xdr:cxnSp macro="">
      <xdr:nvCxnSpPr>
        <xdr:cNvPr id="160" name="Прямая соединительная линия 128"/>
        <xdr:cNvCxnSpPr/>
      </xdr:nvCxnSpPr>
      <xdr:spPr>
        <a:xfrm flipV="1">
          <a:off x="47377350" y="75410292"/>
          <a:ext cx="2629500" cy="0"/>
        </a:xfrm>
        <a:prstGeom prst="line">
          <a:avLst/>
        </a:prstGeom>
        <a:ln w="152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486455</xdr:colOff>
      <xdr:row>86</xdr:row>
      <xdr:rowOff>467590</xdr:rowOff>
    </xdr:from>
    <xdr:to>
      <xdr:col>58</xdr:col>
      <xdr:colOff>421821</xdr:colOff>
      <xdr:row>86</xdr:row>
      <xdr:rowOff>467590</xdr:rowOff>
    </xdr:to>
    <xdr:cxnSp macro="">
      <xdr:nvCxnSpPr>
        <xdr:cNvPr id="161" name="Прямая соединительная линия 130"/>
        <xdr:cNvCxnSpPr/>
      </xdr:nvCxnSpPr>
      <xdr:spPr>
        <a:xfrm>
          <a:off x="53227741" y="76055269"/>
          <a:ext cx="4507366" cy="0"/>
        </a:xfrm>
        <a:prstGeom prst="line">
          <a:avLst/>
        </a:prstGeom>
        <a:ln w="1524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95250</xdr:colOff>
      <xdr:row>85</xdr:row>
      <xdr:rowOff>704850</xdr:rowOff>
    </xdr:from>
    <xdr:to>
      <xdr:col>50</xdr:col>
      <xdr:colOff>457200</xdr:colOff>
      <xdr:row>86</xdr:row>
      <xdr:rowOff>238125</xdr:rowOff>
    </xdr:to>
    <xdr:sp macro="" textlink="">
      <xdr:nvSpPr>
        <xdr:cNvPr id="162" name="AutoShape 158"/>
        <xdr:cNvSpPr>
          <a:spLocks noChangeArrowheads="1"/>
        </xdr:cNvSpPr>
      </xdr:nvSpPr>
      <xdr:spPr bwMode="auto">
        <a:xfrm>
          <a:off x="53644800" y="75609450"/>
          <a:ext cx="361950" cy="352425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55</xdr:col>
      <xdr:colOff>114300</xdr:colOff>
      <xdr:row>86</xdr:row>
      <xdr:rowOff>228600</xdr:rowOff>
    </xdr:from>
    <xdr:to>
      <xdr:col>55</xdr:col>
      <xdr:colOff>462643</xdr:colOff>
      <xdr:row>86</xdr:row>
      <xdr:rowOff>523875</xdr:rowOff>
    </xdr:to>
    <xdr:sp macro="" textlink="">
      <xdr:nvSpPr>
        <xdr:cNvPr id="163" name="AutoShape 159"/>
        <xdr:cNvSpPr>
          <a:spLocks noChangeArrowheads="1"/>
        </xdr:cNvSpPr>
      </xdr:nvSpPr>
      <xdr:spPr bwMode="auto">
        <a:xfrm>
          <a:off x="55468157" y="75816279"/>
          <a:ext cx="348343" cy="295275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285750</xdr:colOff>
      <xdr:row>85</xdr:row>
      <xdr:rowOff>476250</xdr:rowOff>
    </xdr:from>
    <xdr:to>
      <xdr:col>50</xdr:col>
      <xdr:colOff>466725</xdr:colOff>
      <xdr:row>85</xdr:row>
      <xdr:rowOff>704850</xdr:rowOff>
    </xdr:to>
    <xdr:cxnSp macro="">
      <xdr:nvCxnSpPr>
        <xdr:cNvPr id="164" name="Прямая со стрелкой 131"/>
        <xdr:cNvCxnSpPr>
          <a:cxnSpLocks noChangeShapeType="1"/>
          <a:endCxn id="162" idx="0"/>
        </xdr:cNvCxnSpPr>
      </xdr:nvCxnSpPr>
      <xdr:spPr bwMode="auto">
        <a:xfrm flipH="1">
          <a:off x="53835300" y="75380850"/>
          <a:ext cx="180975" cy="228600"/>
        </a:xfrm>
        <a:prstGeom prst="straightConnector1">
          <a:avLst/>
        </a:prstGeom>
        <a:noFill/>
        <a:ln w="38100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55</xdr:col>
      <xdr:colOff>219075</xdr:colOff>
      <xdr:row>85</xdr:row>
      <xdr:rowOff>476250</xdr:rowOff>
    </xdr:from>
    <xdr:to>
      <xdr:col>55</xdr:col>
      <xdr:colOff>288472</xdr:colOff>
      <xdr:row>86</xdr:row>
      <xdr:rowOff>228600</xdr:rowOff>
    </xdr:to>
    <xdr:cxnSp macro="">
      <xdr:nvCxnSpPr>
        <xdr:cNvPr id="165" name="Прямая со стрелкой 131"/>
        <xdr:cNvCxnSpPr>
          <a:cxnSpLocks noChangeShapeType="1"/>
          <a:endCxn id="163" idx="0"/>
        </xdr:cNvCxnSpPr>
      </xdr:nvCxnSpPr>
      <xdr:spPr bwMode="auto">
        <a:xfrm>
          <a:off x="55572932" y="75247500"/>
          <a:ext cx="69397" cy="568779"/>
        </a:xfrm>
        <a:prstGeom prst="straightConnector1">
          <a:avLst/>
        </a:prstGeom>
        <a:noFill/>
        <a:ln w="38100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34</xdr:col>
      <xdr:colOff>0</xdr:colOff>
      <xdr:row>87</xdr:row>
      <xdr:rowOff>347662</xdr:rowOff>
    </xdr:from>
    <xdr:to>
      <xdr:col>36</xdr:col>
      <xdr:colOff>6722</xdr:colOff>
      <xdr:row>87</xdr:row>
      <xdr:rowOff>347662</xdr:rowOff>
    </xdr:to>
    <xdr:cxnSp macro="">
      <xdr:nvCxnSpPr>
        <xdr:cNvPr id="166" name="Прямая соединительная линия 128"/>
        <xdr:cNvCxnSpPr/>
      </xdr:nvCxnSpPr>
      <xdr:spPr>
        <a:xfrm>
          <a:off x="42119550" y="77023912"/>
          <a:ext cx="1321172" cy="0"/>
        </a:xfrm>
        <a:prstGeom prst="line">
          <a:avLst/>
        </a:prstGeom>
        <a:ln w="152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299603</xdr:colOff>
      <xdr:row>87</xdr:row>
      <xdr:rowOff>652462</xdr:rowOff>
    </xdr:from>
    <xdr:to>
      <xdr:col>37</xdr:col>
      <xdr:colOff>20096</xdr:colOff>
      <xdr:row>87</xdr:row>
      <xdr:rowOff>652462</xdr:rowOff>
    </xdr:to>
    <xdr:cxnSp macro="">
      <xdr:nvCxnSpPr>
        <xdr:cNvPr id="167" name="Прямая соединительная линия 130"/>
        <xdr:cNvCxnSpPr/>
      </xdr:nvCxnSpPr>
      <xdr:spPr>
        <a:xfrm flipV="1">
          <a:off x="43076378" y="77328712"/>
          <a:ext cx="1034943" cy="0"/>
        </a:xfrm>
        <a:prstGeom prst="line">
          <a:avLst/>
        </a:prstGeom>
        <a:ln w="1524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639903</xdr:colOff>
      <xdr:row>87</xdr:row>
      <xdr:rowOff>347662</xdr:rowOff>
    </xdr:from>
    <xdr:to>
      <xdr:col>41</xdr:col>
      <xdr:colOff>13448</xdr:colOff>
      <xdr:row>87</xdr:row>
      <xdr:rowOff>347662</xdr:rowOff>
    </xdr:to>
    <xdr:cxnSp macro="">
      <xdr:nvCxnSpPr>
        <xdr:cNvPr id="168" name="Прямая соединительная линия 128"/>
        <xdr:cNvCxnSpPr/>
      </xdr:nvCxnSpPr>
      <xdr:spPr>
        <a:xfrm flipV="1">
          <a:off x="44073903" y="77023912"/>
          <a:ext cx="2659670" cy="0"/>
        </a:xfrm>
        <a:prstGeom prst="line">
          <a:avLst/>
        </a:prstGeom>
        <a:ln w="152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13420</xdr:colOff>
      <xdr:row>87</xdr:row>
      <xdr:rowOff>652462</xdr:rowOff>
    </xdr:from>
    <xdr:to>
      <xdr:col>41</xdr:col>
      <xdr:colOff>274893</xdr:colOff>
      <xdr:row>87</xdr:row>
      <xdr:rowOff>652462</xdr:rowOff>
    </xdr:to>
    <xdr:cxnSp macro="">
      <xdr:nvCxnSpPr>
        <xdr:cNvPr id="169" name="Прямая соединительная линия 130"/>
        <xdr:cNvCxnSpPr/>
      </xdr:nvCxnSpPr>
      <xdr:spPr>
        <a:xfrm flipV="1">
          <a:off x="44761870" y="77328712"/>
          <a:ext cx="2233148" cy="0"/>
        </a:xfrm>
        <a:prstGeom prst="line">
          <a:avLst/>
        </a:prstGeom>
        <a:ln w="1524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476249</xdr:colOff>
      <xdr:row>86</xdr:row>
      <xdr:rowOff>419100</xdr:rowOff>
    </xdr:from>
    <xdr:to>
      <xdr:col>41</xdr:col>
      <xdr:colOff>433387</xdr:colOff>
      <xdr:row>87</xdr:row>
      <xdr:rowOff>66675</xdr:rowOff>
    </xdr:to>
    <xdr:sp macro="" textlink="">
      <xdr:nvSpPr>
        <xdr:cNvPr id="170" name="TextBox 134"/>
        <xdr:cNvSpPr txBox="1">
          <a:spLocks noChangeArrowheads="1"/>
        </xdr:cNvSpPr>
      </xdr:nvSpPr>
      <xdr:spPr bwMode="auto">
        <a:xfrm>
          <a:off x="43253024" y="76142850"/>
          <a:ext cx="3900488" cy="600075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Закладные части турбин</a:t>
          </a:r>
        </a:p>
      </xdr:txBody>
    </xdr:sp>
    <xdr:clientData/>
  </xdr:twoCellAnchor>
  <xdr:twoCellAnchor>
    <xdr:from>
      <xdr:col>47</xdr:col>
      <xdr:colOff>11255</xdr:colOff>
      <xdr:row>87</xdr:row>
      <xdr:rowOff>217714</xdr:rowOff>
    </xdr:from>
    <xdr:to>
      <xdr:col>51</xdr:col>
      <xdr:colOff>27214</xdr:colOff>
      <xdr:row>87</xdr:row>
      <xdr:rowOff>233362</xdr:rowOff>
    </xdr:to>
    <xdr:cxnSp macro="">
      <xdr:nvCxnSpPr>
        <xdr:cNvPr id="171" name="Прямая соединительная линия 128"/>
        <xdr:cNvCxnSpPr/>
      </xdr:nvCxnSpPr>
      <xdr:spPr>
        <a:xfrm flipV="1">
          <a:off x="50139969" y="76757893"/>
          <a:ext cx="2628531" cy="15648"/>
        </a:xfrm>
        <a:prstGeom prst="line">
          <a:avLst/>
        </a:prstGeom>
        <a:ln w="152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6803</xdr:colOff>
      <xdr:row>87</xdr:row>
      <xdr:rowOff>488621</xdr:rowOff>
    </xdr:from>
    <xdr:to>
      <xdr:col>54</xdr:col>
      <xdr:colOff>13607</xdr:colOff>
      <xdr:row>87</xdr:row>
      <xdr:rowOff>489857</xdr:rowOff>
    </xdr:to>
    <xdr:cxnSp macro="">
      <xdr:nvCxnSpPr>
        <xdr:cNvPr id="172" name="Прямая соединительная линия 130"/>
        <xdr:cNvCxnSpPr/>
      </xdr:nvCxnSpPr>
      <xdr:spPr>
        <a:xfrm>
          <a:off x="52094946" y="77028800"/>
          <a:ext cx="2619375" cy="1236"/>
        </a:xfrm>
        <a:prstGeom prst="line">
          <a:avLst/>
        </a:prstGeom>
        <a:ln w="1524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9892</xdr:colOff>
      <xdr:row>88</xdr:row>
      <xdr:rowOff>353353</xdr:rowOff>
    </xdr:from>
    <xdr:to>
      <xdr:col>53</xdr:col>
      <xdr:colOff>386562</xdr:colOff>
      <xdr:row>88</xdr:row>
      <xdr:rowOff>353353</xdr:rowOff>
    </xdr:to>
    <xdr:cxnSp macro="">
      <xdr:nvCxnSpPr>
        <xdr:cNvPr id="173" name="Прямая соединительная линия 128"/>
        <xdr:cNvCxnSpPr/>
      </xdr:nvCxnSpPr>
      <xdr:spPr>
        <a:xfrm flipV="1">
          <a:off x="51444892" y="77709960"/>
          <a:ext cx="2989241" cy="0"/>
        </a:xfrm>
        <a:prstGeom prst="line">
          <a:avLst/>
        </a:prstGeom>
        <a:ln w="152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-1</xdr:colOff>
      <xdr:row>88</xdr:row>
      <xdr:rowOff>574902</xdr:rowOff>
    </xdr:from>
    <xdr:to>
      <xdr:col>55</xdr:col>
      <xdr:colOff>23813</xdr:colOff>
      <xdr:row>88</xdr:row>
      <xdr:rowOff>581395</xdr:rowOff>
    </xdr:to>
    <xdr:cxnSp macro="">
      <xdr:nvCxnSpPr>
        <xdr:cNvPr id="174" name="Прямая соединительная линия 130"/>
        <xdr:cNvCxnSpPr/>
      </xdr:nvCxnSpPr>
      <xdr:spPr>
        <a:xfrm flipV="1">
          <a:off x="52741285" y="77931509"/>
          <a:ext cx="2636385" cy="6493"/>
        </a:xfrm>
        <a:prstGeom prst="line">
          <a:avLst/>
        </a:prstGeom>
        <a:ln w="1524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431</xdr:colOff>
      <xdr:row>89</xdr:row>
      <xdr:rowOff>347662</xdr:rowOff>
    </xdr:from>
    <xdr:to>
      <xdr:col>58</xdr:col>
      <xdr:colOff>411859</xdr:colOff>
      <xdr:row>89</xdr:row>
      <xdr:rowOff>347662</xdr:rowOff>
    </xdr:to>
    <xdr:cxnSp macro="">
      <xdr:nvCxnSpPr>
        <xdr:cNvPr id="175" name="Прямая соединительная линия 130"/>
        <xdr:cNvCxnSpPr/>
      </xdr:nvCxnSpPr>
      <xdr:spPr>
        <a:xfrm>
          <a:off x="50129145" y="78520698"/>
          <a:ext cx="7596000" cy="0"/>
        </a:xfrm>
        <a:prstGeom prst="line">
          <a:avLst/>
        </a:prstGeom>
        <a:ln w="1524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333374</xdr:colOff>
      <xdr:row>85</xdr:row>
      <xdr:rowOff>433820</xdr:rowOff>
    </xdr:from>
    <xdr:to>
      <xdr:col>49</xdr:col>
      <xdr:colOff>259773</xdr:colOff>
      <xdr:row>86</xdr:row>
      <xdr:rowOff>138546</xdr:rowOff>
    </xdr:to>
    <xdr:cxnSp macro="">
      <xdr:nvCxnSpPr>
        <xdr:cNvPr id="176" name="Прямая со стрелкой 133"/>
        <xdr:cNvCxnSpPr>
          <a:stCxn id="177" idx="3"/>
        </xdr:cNvCxnSpPr>
      </xdr:nvCxnSpPr>
      <xdr:spPr>
        <a:xfrm>
          <a:off x="52568474" y="75338420"/>
          <a:ext cx="583624" cy="523876"/>
        </a:xfrm>
        <a:prstGeom prst="straightConnector1">
          <a:avLst/>
        </a:prstGeom>
        <a:ln w="38100"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124690</xdr:colOff>
      <xdr:row>85</xdr:row>
      <xdr:rowOff>195695</xdr:rowOff>
    </xdr:from>
    <xdr:to>
      <xdr:col>48</xdr:col>
      <xdr:colOff>333374</xdr:colOff>
      <xdr:row>85</xdr:row>
      <xdr:rowOff>671945</xdr:rowOff>
    </xdr:to>
    <xdr:sp macro="" textlink="">
      <xdr:nvSpPr>
        <xdr:cNvPr id="177" name="TextBox 134"/>
        <xdr:cNvSpPr txBox="1">
          <a:spLocks noChangeArrowheads="1"/>
        </xdr:cNvSpPr>
      </xdr:nvSpPr>
      <xdr:spPr bwMode="auto">
        <a:xfrm>
          <a:off x="51702565" y="75100295"/>
          <a:ext cx="865909" cy="476250"/>
        </a:xfrm>
        <a:prstGeom prst="rect">
          <a:avLst/>
        </a:prstGeom>
        <a:solidFill>
          <a:srgbClr val="FFFFFF"/>
        </a:solidFill>
        <a:ln w="19050">
          <a:solidFill>
            <a:srgbClr val="7F7F7F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ГА-1</a:t>
          </a:r>
        </a:p>
      </xdr:txBody>
    </xdr:sp>
    <xdr:clientData/>
  </xdr:twoCellAnchor>
  <xdr:twoCellAnchor>
    <xdr:from>
      <xdr:col>47</xdr:col>
      <xdr:colOff>3030</xdr:colOff>
      <xdr:row>90</xdr:row>
      <xdr:rowOff>585788</xdr:rowOff>
    </xdr:from>
    <xdr:to>
      <xdr:col>58</xdr:col>
      <xdr:colOff>414458</xdr:colOff>
      <xdr:row>90</xdr:row>
      <xdr:rowOff>627351</xdr:rowOff>
    </xdr:to>
    <xdr:cxnSp macro="">
      <xdr:nvCxnSpPr>
        <xdr:cNvPr id="178" name="Прямая соединительная линия 130"/>
        <xdr:cNvCxnSpPr/>
      </xdr:nvCxnSpPr>
      <xdr:spPr>
        <a:xfrm flipV="1">
          <a:off x="50131744" y="79711324"/>
          <a:ext cx="7596000" cy="41563"/>
        </a:xfrm>
        <a:prstGeom prst="line">
          <a:avLst/>
        </a:prstGeom>
        <a:ln w="1524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619802</xdr:colOff>
      <xdr:row>90</xdr:row>
      <xdr:rowOff>1454603</xdr:rowOff>
    </xdr:from>
    <xdr:to>
      <xdr:col>53</xdr:col>
      <xdr:colOff>334670</xdr:colOff>
      <xdr:row>90</xdr:row>
      <xdr:rowOff>1454603</xdr:rowOff>
    </xdr:to>
    <xdr:cxnSp macro="">
      <xdr:nvCxnSpPr>
        <xdr:cNvPr id="179" name="Прямая соединительная линия 128"/>
        <xdr:cNvCxnSpPr/>
      </xdr:nvCxnSpPr>
      <xdr:spPr>
        <a:xfrm flipV="1">
          <a:off x="51401659" y="80580139"/>
          <a:ext cx="2980582" cy="0"/>
        </a:xfrm>
        <a:prstGeom prst="line">
          <a:avLst/>
        </a:prstGeom>
        <a:ln w="152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13607</xdr:colOff>
      <xdr:row>90</xdr:row>
      <xdr:rowOff>2258785</xdr:rowOff>
    </xdr:from>
    <xdr:to>
      <xdr:col>55</xdr:col>
      <xdr:colOff>642938</xdr:colOff>
      <xdr:row>90</xdr:row>
      <xdr:rowOff>2258785</xdr:rowOff>
    </xdr:to>
    <xdr:cxnSp macro="">
      <xdr:nvCxnSpPr>
        <xdr:cNvPr id="180" name="Прямая соединительная линия 130"/>
        <xdr:cNvCxnSpPr/>
      </xdr:nvCxnSpPr>
      <xdr:spPr>
        <a:xfrm>
          <a:off x="53408036" y="81384321"/>
          <a:ext cx="2588759" cy="0"/>
        </a:xfrm>
        <a:prstGeom prst="line">
          <a:avLst/>
        </a:prstGeom>
        <a:ln w="1524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119052</xdr:colOff>
      <xdr:row>85</xdr:row>
      <xdr:rowOff>23254</xdr:rowOff>
    </xdr:from>
    <xdr:to>
      <xdr:col>57</xdr:col>
      <xdr:colOff>19050</xdr:colOff>
      <xdr:row>85</xdr:row>
      <xdr:rowOff>473528</xdr:rowOff>
    </xdr:to>
    <xdr:sp macro="" textlink="">
      <xdr:nvSpPr>
        <xdr:cNvPr id="181" name="TextBox 134"/>
        <xdr:cNvSpPr txBox="1">
          <a:spLocks noChangeArrowheads="1"/>
        </xdr:cNvSpPr>
      </xdr:nvSpPr>
      <xdr:spPr bwMode="auto">
        <a:xfrm>
          <a:off x="53011377" y="74927854"/>
          <a:ext cx="5157798" cy="450274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Опускание ротора генератора</a:t>
          </a:r>
        </a:p>
      </xdr:txBody>
    </xdr:sp>
    <xdr:clientData/>
  </xdr:twoCellAnchor>
  <xdr:twoCellAnchor>
    <xdr:from>
      <xdr:col>15</xdr:col>
      <xdr:colOff>55603</xdr:colOff>
      <xdr:row>79</xdr:row>
      <xdr:rowOff>571500</xdr:rowOff>
    </xdr:from>
    <xdr:to>
      <xdr:col>16</xdr:col>
      <xdr:colOff>46378</xdr:colOff>
      <xdr:row>79</xdr:row>
      <xdr:rowOff>578428</xdr:rowOff>
    </xdr:to>
    <xdr:cxnSp macro="">
      <xdr:nvCxnSpPr>
        <xdr:cNvPr id="182" name="Прямая соединительная линия 181"/>
        <xdr:cNvCxnSpPr/>
      </xdr:nvCxnSpPr>
      <xdr:spPr>
        <a:xfrm flipV="1">
          <a:off x="27525703" y="70027800"/>
          <a:ext cx="648000" cy="6928"/>
        </a:xfrm>
        <a:prstGeom prst="line">
          <a:avLst/>
        </a:prstGeom>
        <a:ln w="1524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38100</xdr:colOff>
      <xdr:row>80</xdr:row>
      <xdr:rowOff>595312</xdr:rowOff>
    </xdr:from>
    <xdr:to>
      <xdr:col>33</xdr:col>
      <xdr:colOff>19050</xdr:colOff>
      <xdr:row>80</xdr:row>
      <xdr:rowOff>609600</xdr:rowOff>
    </xdr:to>
    <xdr:cxnSp macro="">
      <xdr:nvCxnSpPr>
        <xdr:cNvPr id="183" name="Прямая соединительная линия 182"/>
        <xdr:cNvCxnSpPr/>
      </xdr:nvCxnSpPr>
      <xdr:spPr>
        <a:xfrm flipV="1">
          <a:off x="34366200" y="71918512"/>
          <a:ext cx="4514850" cy="14288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38100</xdr:colOff>
      <xdr:row>91</xdr:row>
      <xdr:rowOff>631247</xdr:rowOff>
    </xdr:from>
    <xdr:to>
      <xdr:col>45</xdr:col>
      <xdr:colOff>628252</xdr:colOff>
      <xdr:row>91</xdr:row>
      <xdr:rowOff>631247</xdr:rowOff>
    </xdr:to>
    <xdr:cxnSp macro="">
      <xdr:nvCxnSpPr>
        <xdr:cNvPr id="184" name="Прямая соединительная линия 183"/>
        <xdr:cNvCxnSpPr/>
      </xdr:nvCxnSpPr>
      <xdr:spPr>
        <a:xfrm flipV="1">
          <a:off x="45443775" y="82546247"/>
          <a:ext cx="4533502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23812</xdr:colOff>
      <xdr:row>83</xdr:row>
      <xdr:rowOff>723900</xdr:rowOff>
    </xdr:from>
    <xdr:to>
      <xdr:col>29</xdr:col>
      <xdr:colOff>23813</xdr:colOff>
      <xdr:row>83</xdr:row>
      <xdr:rowOff>725488</xdr:rowOff>
    </xdr:to>
    <xdr:cxnSp macro="">
      <xdr:nvCxnSpPr>
        <xdr:cNvPr id="185" name="Прямая соединительная линия 184"/>
        <xdr:cNvCxnSpPr/>
      </xdr:nvCxnSpPr>
      <xdr:spPr>
        <a:xfrm>
          <a:off x="37161787" y="73723500"/>
          <a:ext cx="657226" cy="1588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41413</xdr:colOff>
      <xdr:row>81</xdr:row>
      <xdr:rowOff>662609</xdr:rowOff>
    </xdr:from>
    <xdr:to>
      <xdr:col>23</xdr:col>
      <xdr:colOff>0</xdr:colOff>
      <xdr:row>81</xdr:row>
      <xdr:rowOff>662609</xdr:rowOff>
    </xdr:to>
    <xdr:cxnSp macro="">
      <xdr:nvCxnSpPr>
        <xdr:cNvPr id="186" name="Прямая соединительная линия 185"/>
        <xdr:cNvCxnSpPr/>
      </xdr:nvCxnSpPr>
      <xdr:spPr>
        <a:xfrm>
          <a:off x="31131013" y="72824009"/>
          <a:ext cx="1253987" cy="0"/>
        </a:xfrm>
        <a:prstGeom prst="line">
          <a:avLst/>
        </a:prstGeom>
        <a:ln w="1524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23812</xdr:colOff>
      <xdr:row>82</xdr:row>
      <xdr:rowOff>642937</xdr:rowOff>
    </xdr:from>
    <xdr:to>
      <xdr:col>24</xdr:col>
      <xdr:colOff>0</xdr:colOff>
      <xdr:row>82</xdr:row>
      <xdr:rowOff>642937</xdr:rowOff>
    </xdr:to>
    <xdr:cxnSp macro="">
      <xdr:nvCxnSpPr>
        <xdr:cNvPr id="187" name="Прямая соединительная линия 186"/>
        <xdr:cNvCxnSpPr/>
      </xdr:nvCxnSpPr>
      <xdr:spPr>
        <a:xfrm>
          <a:off x="31113412" y="73756837"/>
          <a:ext cx="1919288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633413</xdr:colOff>
      <xdr:row>78</xdr:row>
      <xdr:rowOff>557212</xdr:rowOff>
    </xdr:from>
    <xdr:to>
      <xdr:col>16</xdr:col>
      <xdr:colOff>609600</xdr:colOff>
      <xdr:row>78</xdr:row>
      <xdr:rowOff>557212</xdr:rowOff>
    </xdr:to>
    <xdr:cxnSp macro="">
      <xdr:nvCxnSpPr>
        <xdr:cNvPr id="188" name="Прямая соединительная линия 187"/>
        <xdr:cNvCxnSpPr/>
      </xdr:nvCxnSpPr>
      <xdr:spPr>
        <a:xfrm>
          <a:off x="27446288" y="69194362"/>
          <a:ext cx="1290637" cy="0"/>
        </a:xfrm>
        <a:prstGeom prst="line">
          <a:avLst/>
        </a:prstGeom>
        <a:ln w="1524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14288</xdr:colOff>
      <xdr:row>80</xdr:row>
      <xdr:rowOff>590560</xdr:rowOff>
    </xdr:from>
    <xdr:to>
      <xdr:col>45</xdr:col>
      <xdr:colOff>619126</xdr:colOff>
      <xdr:row>80</xdr:row>
      <xdr:rowOff>590560</xdr:rowOff>
    </xdr:to>
    <xdr:cxnSp macro="">
      <xdr:nvCxnSpPr>
        <xdr:cNvPr id="189" name="Прямая соединительная линия 188"/>
        <xdr:cNvCxnSpPr/>
      </xdr:nvCxnSpPr>
      <xdr:spPr>
        <a:xfrm>
          <a:off x="42133838" y="70866010"/>
          <a:ext cx="7834313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</xdr:colOff>
      <xdr:row>78</xdr:row>
      <xdr:rowOff>481012</xdr:rowOff>
    </xdr:from>
    <xdr:to>
      <xdr:col>27</xdr:col>
      <xdr:colOff>0</xdr:colOff>
      <xdr:row>78</xdr:row>
      <xdr:rowOff>481014</xdr:rowOff>
    </xdr:to>
    <xdr:cxnSp macro="">
      <xdr:nvCxnSpPr>
        <xdr:cNvPr id="190" name="Прямая соединительная линия 189"/>
        <xdr:cNvCxnSpPr/>
      </xdr:nvCxnSpPr>
      <xdr:spPr>
        <a:xfrm flipV="1">
          <a:off x="33046987" y="70127812"/>
          <a:ext cx="1928813" cy="2"/>
        </a:xfrm>
        <a:prstGeom prst="line">
          <a:avLst/>
        </a:prstGeom>
        <a:ln w="1524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1556904</xdr:colOff>
      <xdr:row>91</xdr:row>
      <xdr:rowOff>685800</xdr:rowOff>
    </xdr:from>
    <xdr:to>
      <xdr:col>56</xdr:col>
      <xdr:colOff>38100</xdr:colOff>
      <xdr:row>91</xdr:row>
      <xdr:rowOff>685800</xdr:rowOff>
    </xdr:to>
    <xdr:cxnSp macro="">
      <xdr:nvCxnSpPr>
        <xdr:cNvPr id="191" name="Прямая соединительная линия 190"/>
        <xdr:cNvCxnSpPr/>
      </xdr:nvCxnSpPr>
      <xdr:spPr>
        <a:xfrm flipV="1">
          <a:off x="51563154" y="82600800"/>
          <a:ext cx="5967846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38100</xdr:colOff>
      <xdr:row>92</xdr:row>
      <xdr:rowOff>631247</xdr:rowOff>
    </xdr:from>
    <xdr:to>
      <xdr:col>45</xdr:col>
      <xdr:colOff>628252</xdr:colOff>
      <xdr:row>92</xdr:row>
      <xdr:rowOff>631247</xdr:rowOff>
    </xdr:to>
    <xdr:cxnSp macro="">
      <xdr:nvCxnSpPr>
        <xdr:cNvPr id="192" name="Прямая соединительная линия 191"/>
        <xdr:cNvCxnSpPr/>
      </xdr:nvCxnSpPr>
      <xdr:spPr>
        <a:xfrm flipV="1">
          <a:off x="45443775" y="83365397"/>
          <a:ext cx="4533502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1556904</xdr:colOff>
      <xdr:row>92</xdr:row>
      <xdr:rowOff>685800</xdr:rowOff>
    </xdr:from>
    <xdr:to>
      <xdr:col>56</xdr:col>
      <xdr:colOff>38100</xdr:colOff>
      <xdr:row>92</xdr:row>
      <xdr:rowOff>685800</xdr:rowOff>
    </xdr:to>
    <xdr:cxnSp macro="">
      <xdr:nvCxnSpPr>
        <xdr:cNvPr id="193" name="Прямая соединительная линия 192"/>
        <xdr:cNvCxnSpPr/>
      </xdr:nvCxnSpPr>
      <xdr:spPr>
        <a:xfrm flipV="1">
          <a:off x="51563154" y="83419950"/>
          <a:ext cx="5967846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285750</xdr:colOff>
      <xdr:row>90</xdr:row>
      <xdr:rowOff>847725</xdr:rowOff>
    </xdr:from>
    <xdr:to>
      <xdr:col>52</xdr:col>
      <xdr:colOff>642938</xdr:colOff>
      <xdr:row>90</xdr:row>
      <xdr:rowOff>1297999</xdr:rowOff>
    </xdr:to>
    <xdr:sp macro="" textlink="">
      <xdr:nvSpPr>
        <xdr:cNvPr id="194" name="TextBox 134"/>
        <xdr:cNvSpPr txBox="1">
          <a:spLocks noChangeArrowheads="1"/>
        </xdr:cNvSpPr>
      </xdr:nvSpPr>
      <xdr:spPr bwMode="auto">
        <a:xfrm>
          <a:off x="51863625" y="80114775"/>
          <a:ext cx="3643313" cy="450274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Трансформатор ГА-1</a:t>
          </a:r>
        </a:p>
      </xdr:txBody>
    </xdr:sp>
    <xdr:clientData/>
  </xdr:twoCellAnchor>
  <xdr:twoCellAnchor>
    <xdr:from>
      <xdr:col>50</xdr:col>
      <xdr:colOff>190500</xdr:colOff>
      <xdr:row>90</xdr:row>
      <xdr:rowOff>1652587</xdr:rowOff>
    </xdr:from>
    <xdr:to>
      <xdr:col>55</xdr:col>
      <xdr:colOff>547688</xdr:colOff>
      <xdr:row>90</xdr:row>
      <xdr:rowOff>2093480</xdr:rowOff>
    </xdr:to>
    <xdr:sp macro="" textlink="">
      <xdr:nvSpPr>
        <xdr:cNvPr id="195" name="TextBox 134"/>
        <xdr:cNvSpPr txBox="1">
          <a:spLocks noChangeArrowheads="1"/>
        </xdr:cNvSpPr>
      </xdr:nvSpPr>
      <xdr:spPr bwMode="auto">
        <a:xfrm>
          <a:off x="53740050" y="80919637"/>
          <a:ext cx="3643313" cy="440893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Трансформатор ГА-2</a:t>
          </a:r>
        </a:p>
      </xdr:txBody>
    </xdr:sp>
    <xdr:clientData/>
  </xdr:twoCellAnchor>
  <xdr:twoCellAnchor>
    <xdr:from>
      <xdr:col>24</xdr:col>
      <xdr:colOff>0</xdr:colOff>
      <xdr:row>93</xdr:row>
      <xdr:rowOff>685800</xdr:rowOff>
    </xdr:from>
    <xdr:to>
      <xdr:col>32</xdr:col>
      <xdr:colOff>633412</xdr:colOff>
      <xdr:row>93</xdr:row>
      <xdr:rowOff>700087</xdr:rowOff>
    </xdr:to>
    <xdr:cxnSp macro="">
      <xdr:nvCxnSpPr>
        <xdr:cNvPr id="196" name="Прямая соединительная линия 195"/>
        <xdr:cNvCxnSpPr/>
      </xdr:nvCxnSpPr>
      <xdr:spPr>
        <a:xfrm>
          <a:off x="33032700" y="85420200"/>
          <a:ext cx="5815012" cy="14287"/>
        </a:xfrm>
        <a:prstGeom prst="line">
          <a:avLst/>
        </a:prstGeom>
        <a:ln w="1397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13854</xdr:colOff>
      <xdr:row>93</xdr:row>
      <xdr:rowOff>697057</xdr:rowOff>
    </xdr:from>
    <xdr:to>
      <xdr:col>45</xdr:col>
      <xdr:colOff>622854</xdr:colOff>
      <xdr:row>93</xdr:row>
      <xdr:rowOff>697057</xdr:rowOff>
    </xdr:to>
    <xdr:cxnSp macro="">
      <xdr:nvCxnSpPr>
        <xdr:cNvPr id="197" name="Прямая соединительная линия 196"/>
        <xdr:cNvCxnSpPr/>
      </xdr:nvCxnSpPr>
      <xdr:spPr>
        <a:xfrm>
          <a:off x="42133404" y="84250357"/>
          <a:ext cx="7838475" cy="0"/>
        </a:xfrm>
        <a:prstGeom prst="line">
          <a:avLst/>
        </a:prstGeom>
        <a:ln w="1397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657225</xdr:colOff>
      <xdr:row>93</xdr:row>
      <xdr:rowOff>638175</xdr:rowOff>
    </xdr:from>
    <xdr:to>
      <xdr:col>16</xdr:col>
      <xdr:colOff>657225</xdr:colOff>
      <xdr:row>93</xdr:row>
      <xdr:rowOff>638175</xdr:rowOff>
    </xdr:to>
    <xdr:cxnSp macro="">
      <xdr:nvCxnSpPr>
        <xdr:cNvPr id="198" name="Прямая соединительная линия 197"/>
        <xdr:cNvCxnSpPr/>
      </xdr:nvCxnSpPr>
      <xdr:spPr>
        <a:xfrm>
          <a:off x="26827163" y="81743550"/>
          <a:ext cx="666750" cy="0"/>
        </a:xfrm>
        <a:prstGeom prst="line">
          <a:avLst/>
        </a:prstGeom>
        <a:ln w="1397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79</xdr:row>
      <xdr:rowOff>533400</xdr:rowOff>
    </xdr:from>
    <xdr:to>
      <xdr:col>27</xdr:col>
      <xdr:colOff>38100</xdr:colOff>
      <xdr:row>79</xdr:row>
      <xdr:rowOff>533401</xdr:rowOff>
    </xdr:to>
    <xdr:cxnSp macro="">
      <xdr:nvCxnSpPr>
        <xdr:cNvPr id="199" name="Прямая соединительная линия 198"/>
        <xdr:cNvCxnSpPr/>
      </xdr:nvCxnSpPr>
      <xdr:spPr>
        <a:xfrm>
          <a:off x="33070800" y="71018400"/>
          <a:ext cx="1943100" cy="1"/>
        </a:xfrm>
        <a:prstGeom prst="line">
          <a:avLst/>
        </a:prstGeom>
        <a:ln w="1524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38101</xdr:colOff>
      <xdr:row>80</xdr:row>
      <xdr:rowOff>619125</xdr:rowOff>
    </xdr:from>
    <xdr:to>
      <xdr:col>17</xdr:col>
      <xdr:colOff>38102</xdr:colOff>
      <xdr:row>80</xdr:row>
      <xdr:rowOff>620713</xdr:rowOff>
    </xdr:to>
    <xdr:cxnSp macro="">
      <xdr:nvCxnSpPr>
        <xdr:cNvPr id="200" name="Прямая соединительная линия 199"/>
        <xdr:cNvCxnSpPr/>
      </xdr:nvCxnSpPr>
      <xdr:spPr>
        <a:xfrm>
          <a:off x="28165426" y="70894575"/>
          <a:ext cx="657226" cy="1588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82</xdr:row>
      <xdr:rowOff>609600</xdr:rowOff>
    </xdr:from>
    <xdr:to>
      <xdr:col>19</xdr:col>
      <xdr:colOff>41414</xdr:colOff>
      <xdr:row>82</xdr:row>
      <xdr:rowOff>609600</xdr:rowOff>
    </xdr:to>
    <xdr:cxnSp macro="">
      <xdr:nvCxnSpPr>
        <xdr:cNvPr id="201" name="Прямая соединительная линия 200"/>
        <xdr:cNvCxnSpPr/>
      </xdr:nvCxnSpPr>
      <xdr:spPr>
        <a:xfrm>
          <a:off x="28127325" y="72656700"/>
          <a:ext cx="2013089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</xdr:colOff>
      <xdr:row>77</xdr:row>
      <xdr:rowOff>952500</xdr:rowOff>
    </xdr:from>
    <xdr:to>
      <xdr:col>18</xdr:col>
      <xdr:colOff>76200</xdr:colOff>
      <xdr:row>77</xdr:row>
      <xdr:rowOff>952500</xdr:rowOff>
    </xdr:to>
    <xdr:cxnSp macro="">
      <xdr:nvCxnSpPr>
        <xdr:cNvPr id="202" name="Прямая соединительная линия 201"/>
        <xdr:cNvCxnSpPr/>
      </xdr:nvCxnSpPr>
      <xdr:spPr>
        <a:xfrm flipV="1">
          <a:off x="26784300" y="69113400"/>
          <a:ext cx="1295400" cy="0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94</xdr:row>
      <xdr:rowOff>800100</xdr:rowOff>
    </xdr:from>
    <xdr:to>
      <xdr:col>19</xdr:col>
      <xdr:colOff>609600</xdr:colOff>
      <xdr:row>94</xdr:row>
      <xdr:rowOff>838200</xdr:rowOff>
    </xdr:to>
    <xdr:cxnSp macro="">
      <xdr:nvCxnSpPr>
        <xdr:cNvPr id="203" name="Прямая соединительная линия 202"/>
        <xdr:cNvCxnSpPr/>
      </xdr:nvCxnSpPr>
      <xdr:spPr>
        <a:xfrm>
          <a:off x="27355800" y="86487000"/>
          <a:ext cx="1905000" cy="38100"/>
        </a:xfrm>
        <a:prstGeom prst="line">
          <a:avLst/>
        </a:prstGeom>
        <a:ln w="15240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333375</xdr:colOff>
      <xdr:row>77</xdr:row>
      <xdr:rowOff>619125</xdr:rowOff>
    </xdr:from>
    <xdr:to>
      <xdr:col>15</xdr:col>
      <xdr:colOff>200025</xdr:colOff>
      <xdr:row>77</xdr:row>
      <xdr:rowOff>1266825</xdr:rowOff>
    </xdr:to>
    <xdr:sp macro="" textlink="">
      <xdr:nvSpPr>
        <xdr:cNvPr id="204" name="Блок-схема: сопоставление 203"/>
        <xdr:cNvSpPr/>
      </xdr:nvSpPr>
      <xdr:spPr>
        <a:xfrm>
          <a:off x="25746075" y="68780025"/>
          <a:ext cx="514350" cy="647700"/>
        </a:xfrm>
        <a:prstGeom prst="flowChartCollat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40</xdr:col>
      <xdr:colOff>41413</xdr:colOff>
      <xdr:row>96</xdr:row>
      <xdr:rowOff>519113</xdr:rowOff>
    </xdr:from>
    <xdr:to>
      <xdr:col>45</xdr:col>
      <xdr:colOff>658688</xdr:colOff>
      <xdr:row>96</xdr:row>
      <xdr:rowOff>519113</xdr:rowOff>
    </xdr:to>
    <xdr:cxnSp macro="">
      <xdr:nvCxnSpPr>
        <xdr:cNvPr id="208" name="Прямая соединительная линия 207"/>
        <xdr:cNvCxnSpPr/>
      </xdr:nvCxnSpPr>
      <xdr:spPr>
        <a:xfrm flipV="1">
          <a:off x="46104313" y="87463313"/>
          <a:ext cx="3903400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41413</xdr:colOff>
      <xdr:row>97</xdr:row>
      <xdr:rowOff>609606</xdr:rowOff>
    </xdr:from>
    <xdr:to>
      <xdr:col>46</xdr:col>
      <xdr:colOff>7725</xdr:colOff>
      <xdr:row>97</xdr:row>
      <xdr:rowOff>609606</xdr:rowOff>
    </xdr:to>
    <xdr:cxnSp macro="">
      <xdr:nvCxnSpPr>
        <xdr:cNvPr id="209" name="Прямая соединительная линия 208"/>
        <xdr:cNvCxnSpPr/>
      </xdr:nvCxnSpPr>
      <xdr:spPr>
        <a:xfrm flipV="1">
          <a:off x="48075988" y="88449156"/>
          <a:ext cx="1937987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1562100</xdr:colOff>
      <xdr:row>97</xdr:row>
      <xdr:rowOff>609600</xdr:rowOff>
    </xdr:from>
    <xdr:to>
      <xdr:col>52</xdr:col>
      <xdr:colOff>652725</xdr:colOff>
      <xdr:row>97</xdr:row>
      <xdr:rowOff>609600</xdr:rowOff>
    </xdr:to>
    <xdr:cxnSp macro="">
      <xdr:nvCxnSpPr>
        <xdr:cNvPr id="210" name="Прямая соединительная линия 209"/>
        <xdr:cNvCxnSpPr/>
      </xdr:nvCxnSpPr>
      <xdr:spPr>
        <a:xfrm>
          <a:off x="51568350" y="88449150"/>
          <a:ext cx="3948375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1571621</xdr:colOff>
      <xdr:row>96</xdr:row>
      <xdr:rowOff>547687</xdr:rowOff>
    </xdr:from>
    <xdr:to>
      <xdr:col>51</xdr:col>
      <xdr:colOff>644996</xdr:colOff>
      <xdr:row>96</xdr:row>
      <xdr:rowOff>547687</xdr:rowOff>
    </xdr:to>
    <xdr:cxnSp macro="">
      <xdr:nvCxnSpPr>
        <xdr:cNvPr id="211" name="Прямая соединительная линия 210"/>
        <xdr:cNvCxnSpPr/>
      </xdr:nvCxnSpPr>
      <xdr:spPr>
        <a:xfrm>
          <a:off x="51577871" y="87491887"/>
          <a:ext cx="3273900" cy="0"/>
        </a:xfrm>
        <a:prstGeom prst="line">
          <a:avLst/>
        </a:prstGeom>
        <a:ln w="152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41413</xdr:colOff>
      <xdr:row>20</xdr:row>
      <xdr:rowOff>0</xdr:rowOff>
    </xdr:from>
    <xdr:to>
      <xdr:col>20</xdr:col>
      <xdr:colOff>1593</xdr:colOff>
      <xdr:row>20</xdr:row>
      <xdr:rowOff>0</xdr:rowOff>
    </xdr:to>
    <xdr:cxnSp macro="">
      <xdr:nvCxnSpPr>
        <xdr:cNvPr id="217" name="Прямая соединительная линия 216"/>
        <xdr:cNvCxnSpPr/>
      </xdr:nvCxnSpPr>
      <xdr:spPr>
        <a:xfrm>
          <a:off x="25593261" y="16316739"/>
          <a:ext cx="5261049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15382</xdr:colOff>
      <xdr:row>48</xdr:row>
      <xdr:rowOff>607588</xdr:rowOff>
    </xdr:from>
    <xdr:to>
      <xdr:col>37</xdr:col>
      <xdr:colOff>15383</xdr:colOff>
      <xdr:row>48</xdr:row>
      <xdr:rowOff>607588</xdr:rowOff>
    </xdr:to>
    <xdr:cxnSp macro="">
      <xdr:nvCxnSpPr>
        <xdr:cNvPr id="219" name="Прямая соединительная линия 218"/>
        <xdr:cNvCxnSpPr/>
      </xdr:nvCxnSpPr>
      <xdr:spPr>
        <a:xfrm flipV="1">
          <a:off x="42075061" y="40707838"/>
          <a:ext cx="1959429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13607</xdr:colOff>
      <xdr:row>53</xdr:row>
      <xdr:rowOff>544285</xdr:rowOff>
    </xdr:from>
    <xdr:to>
      <xdr:col>37</xdr:col>
      <xdr:colOff>13608</xdr:colOff>
      <xdr:row>53</xdr:row>
      <xdr:rowOff>544285</xdr:rowOff>
    </xdr:to>
    <xdr:cxnSp macro="">
      <xdr:nvCxnSpPr>
        <xdr:cNvPr id="222" name="Прямая соединительная линия 221"/>
        <xdr:cNvCxnSpPr/>
      </xdr:nvCxnSpPr>
      <xdr:spPr>
        <a:xfrm flipV="1">
          <a:off x="42073286" y="44944392"/>
          <a:ext cx="1959429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68</xdr:row>
      <xdr:rowOff>533400</xdr:rowOff>
    </xdr:from>
    <xdr:to>
      <xdr:col>49</xdr:col>
      <xdr:colOff>609600</xdr:colOff>
      <xdr:row>68</xdr:row>
      <xdr:rowOff>533400</xdr:rowOff>
    </xdr:to>
    <xdr:cxnSp macro="">
      <xdr:nvCxnSpPr>
        <xdr:cNvPr id="233" name="Прямая соединительная линия 232"/>
        <xdr:cNvCxnSpPr/>
      </xdr:nvCxnSpPr>
      <xdr:spPr>
        <a:xfrm>
          <a:off x="49911000" y="60502800"/>
          <a:ext cx="1905000" cy="0"/>
        </a:xfrm>
        <a:prstGeom prst="line">
          <a:avLst/>
        </a:prstGeom>
        <a:ln w="1524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571500</xdr:colOff>
      <xdr:row>59</xdr:row>
      <xdr:rowOff>533400</xdr:rowOff>
    </xdr:from>
    <xdr:to>
      <xdr:col>53</xdr:col>
      <xdr:colOff>76200</xdr:colOff>
      <xdr:row>59</xdr:row>
      <xdr:rowOff>533400</xdr:rowOff>
    </xdr:to>
    <xdr:cxnSp macro="">
      <xdr:nvCxnSpPr>
        <xdr:cNvPr id="258" name="Прямая соединительная линия 257"/>
        <xdr:cNvCxnSpPr/>
      </xdr:nvCxnSpPr>
      <xdr:spPr>
        <a:xfrm>
          <a:off x="51777900" y="50863500"/>
          <a:ext cx="2095500" cy="0"/>
        </a:xfrm>
        <a:prstGeom prst="line">
          <a:avLst/>
        </a:prstGeom>
        <a:ln w="152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38100</xdr:colOff>
      <xdr:row>60</xdr:row>
      <xdr:rowOff>495300</xdr:rowOff>
    </xdr:from>
    <xdr:to>
      <xdr:col>52</xdr:col>
      <xdr:colOff>152400</xdr:colOff>
      <xdr:row>60</xdr:row>
      <xdr:rowOff>533400</xdr:rowOff>
    </xdr:to>
    <xdr:cxnSp macro="">
      <xdr:nvCxnSpPr>
        <xdr:cNvPr id="264" name="Прямая соединительная линия 263"/>
        <xdr:cNvCxnSpPr/>
      </xdr:nvCxnSpPr>
      <xdr:spPr>
        <a:xfrm flipV="1">
          <a:off x="49949100" y="51663600"/>
          <a:ext cx="3352800" cy="3810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38100</xdr:colOff>
      <xdr:row>69</xdr:row>
      <xdr:rowOff>571500</xdr:rowOff>
    </xdr:from>
    <xdr:to>
      <xdr:col>50</xdr:col>
      <xdr:colOff>609600</xdr:colOff>
      <xdr:row>69</xdr:row>
      <xdr:rowOff>571500</xdr:rowOff>
    </xdr:to>
    <xdr:cxnSp macro="">
      <xdr:nvCxnSpPr>
        <xdr:cNvPr id="269" name="Прямая соединительная линия 268"/>
        <xdr:cNvCxnSpPr/>
      </xdr:nvCxnSpPr>
      <xdr:spPr>
        <a:xfrm>
          <a:off x="49949100" y="61379100"/>
          <a:ext cx="2514600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72119</xdr:colOff>
      <xdr:row>72</xdr:row>
      <xdr:rowOff>495300</xdr:rowOff>
    </xdr:from>
    <xdr:to>
      <xdr:col>52</xdr:col>
      <xdr:colOff>0</xdr:colOff>
      <xdr:row>72</xdr:row>
      <xdr:rowOff>495300</xdr:rowOff>
    </xdr:to>
    <xdr:cxnSp macro="">
      <xdr:nvCxnSpPr>
        <xdr:cNvPr id="271" name="Прямая соединительная линия 270"/>
        <xdr:cNvCxnSpPr/>
      </xdr:nvCxnSpPr>
      <xdr:spPr>
        <a:xfrm>
          <a:off x="49983119" y="64541400"/>
          <a:ext cx="3166381" cy="0"/>
        </a:xfrm>
        <a:prstGeom prst="line">
          <a:avLst/>
        </a:prstGeom>
        <a:ln w="152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94</xdr:row>
      <xdr:rowOff>800100</xdr:rowOff>
    </xdr:from>
    <xdr:to>
      <xdr:col>24</xdr:col>
      <xdr:colOff>0</xdr:colOff>
      <xdr:row>94</xdr:row>
      <xdr:rowOff>800100</xdr:rowOff>
    </xdr:to>
    <xdr:cxnSp macro="">
      <xdr:nvCxnSpPr>
        <xdr:cNvPr id="276" name="Прямая соединительная линия 275"/>
        <xdr:cNvCxnSpPr/>
      </xdr:nvCxnSpPr>
      <xdr:spPr>
        <a:xfrm>
          <a:off x="31127700" y="86487000"/>
          <a:ext cx="1905000" cy="0"/>
        </a:xfrm>
        <a:prstGeom prst="line">
          <a:avLst/>
        </a:prstGeom>
        <a:ln w="15240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61</xdr:row>
      <xdr:rowOff>457200</xdr:rowOff>
    </xdr:from>
    <xdr:to>
      <xdr:col>32</xdr:col>
      <xdr:colOff>571500</xdr:colOff>
      <xdr:row>61</xdr:row>
      <xdr:rowOff>457200</xdr:rowOff>
    </xdr:to>
    <xdr:sp macro="" textlink="">
      <xdr:nvSpPr>
        <xdr:cNvPr id="212" name="Line 196"/>
        <xdr:cNvSpPr>
          <a:spLocks noChangeShapeType="1"/>
        </xdr:cNvSpPr>
      </xdr:nvSpPr>
      <xdr:spPr bwMode="auto">
        <a:xfrm flipV="1">
          <a:off x="31165800" y="52463700"/>
          <a:ext cx="7620000" cy="0"/>
        </a:xfrm>
        <a:prstGeom prst="line">
          <a:avLst/>
        </a:prstGeom>
        <a:noFill/>
        <a:ln w="152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1777093</xdr:colOff>
      <xdr:row>62</xdr:row>
      <xdr:rowOff>419100</xdr:rowOff>
    </xdr:from>
    <xdr:to>
      <xdr:col>32</xdr:col>
      <xdr:colOff>571500</xdr:colOff>
      <xdr:row>62</xdr:row>
      <xdr:rowOff>435429</xdr:rowOff>
    </xdr:to>
    <xdr:cxnSp macro="">
      <xdr:nvCxnSpPr>
        <xdr:cNvPr id="214" name="Прямая соединительная линия 213"/>
        <xdr:cNvCxnSpPr/>
      </xdr:nvCxnSpPr>
      <xdr:spPr>
        <a:xfrm flipV="1">
          <a:off x="31075993" y="53378100"/>
          <a:ext cx="7709807" cy="16329"/>
        </a:xfrm>
        <a:prstGeom prst="line">
          <a:avLst/>
        </a:prstGeom>
        <a:ln w="1524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EEED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53"/>
  <sheetViews>
    <sheetView showGridLines="0" tabSelected="1" view="pageBreakPreview" topLeftCell="A98" zoomScale="25" zoomScaleNormal="22" zoomScaleSheetLayoutView="25" workbookViewId="0">
      <selection activeCell="V117" sqref="V117"/>
    </sheetView>
  </sheetViews>
  <sheetFormatPr defaultRowHeight="36" x14ac:dyDescent="0.55000000000000004"/>
  <cols>
    <col min="1" max="1" width="10.625" customWidth="1"/>
    <col min="2" max="2" width="16.375" customWidth="1"/>
    <col min="3" max="3" width="10.625" customWidth="1"/>
    <col min="4" max="4" width="67.125" customWidth="1"/>
    <col min="5" max="5" width="40.625" style="575" customWidth="1"/>
    <col min="6" max="6" width="68.875" style="575" customWidth="1"/>
    <col min="7" max="7" width="29.5" style="577" customWidth="1"/>
    <col min="8" max="8" width="38.75" style="612" customWidth="1"/>
    <col min="9" max="20" width="8.625" customWidth="1"/>
    <col min="21" max="21" width="23.375" style="577" customWidth="1"/>
    <col min="22" max="33" width="8.625" customWidth="1"/>
    <col min="34" max="34" width="22.25" style="577" customWidth="1"/>
    <col min="35" max="46" width="8.625" customWidth="1"/>
    <col min="47" max="47" width="20.625" style="613" customWidth="1"/>
    <col min="48" max="55" width="8.625" customWidth="1"/>
    <col min="56" max="56" width="8.625" style="614" customWidth="1"/>
    <col min="57" max="59" width="8.625" customWidth="1"/>
    <col min="60" max="60" width="20.625" style="615" customWidth="1"/>
    <col min="61" max="61" width="14.75" customWidth="1"/>
    <col min="62" max="62" width="31.5" customWidth="1"/>
    <col min="63" max="64" width="14.75" customWidth="1"/>
  </cols>
  <sheetData>
    <row r="1" spans="1:193" s="6" customFormat="1" ht="50.25" customHeight="1" x14ac:dyDescent="0.65">
      <c r="A1" s="1"/>
      <c r="B1" s="1"/>
      <c r="C1" s="1"/>
      <c r="D1" s="1"/>
      <c r="E1" s="2"/>
      <c r="F1" s="2"/>
      <c r="G1" s="3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8" t="s">
        <v>0</v>
      </c>
      <c r="AV1" s="1"/>
      <c r="AW1" s="1"/>
      <c r="AX1" s="1"/>
      <c r="AY1" s="1"/>
      <c r="AZ1" s="1"/>
      <c r="BA1" s="1"/>
      <c r="BB1" s="1"/>
      <c r="BC1" s="1"/>
      <c r="BD1" s="7"/>
      <c r="BE1" s="1"/>
      <c r="BF1" s="1"/>
      <c r="BG1" s="1"/>
    </row>
    <row r="2" spans="1:193" s="6" customFormat="1" ht="46.5" customHeight="1" x14ac:dyDescent="0.65">
      <c r="A2" s="1"/>
      <c r="B2" s="1"/>
      <c r="C2" s="1"/>
      <c r="D2" s="1"/>
      <c r="E2" s="2"/>
      <c r="F2" s="2"/>
      <c r="G2" s="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8" t="s">
        <v>1</v>
      </c>
      <c r="AV2" s="1"/>
      <c r="AW2" s="1"/>
      <c r="AX2" s="1"/>
      <c r="AY2" s="1"/>
      <c r="AZ2" s="1"/>
      <c r="BA2" s="1"/>
      <c r="BB2" s="1"/>
      <c r="BC2" s="1"/>
      <c r="BD2" s="7"/>
      <c r="BE2" s="1"/>
      <c r="BF2" s="1"/>
      <c r="BG2" s="1"/>
    </row>
    <row r="3" spans="1:193" ht="61.5" thickBot="1" x14ac:dyDescent="0.3">
      <c r="B3" s="620" t="s">
        <v>115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621"/>
      <c r="BE3" s="621"/>
      <c r="BF3" s="621"/>
      <c r="BG3" s="621"/>
      <c r="BH3" s="621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</row>
    <row r="4" spans="1:193" s="12" customFormat="1" ht="53.25" customHeight="1" thickBot="1" x14ac:dyDescent="0.3">
      <c r="A4" s="10"/>
      <c r="B4" s="622" t="s">
        <v>2</v>
      </c>
      <c r="C4" s="625" t="s">
        <v>119</v>
      </c>
      <c r="D4" s="626"/>
      <c r="E4" s="625" t="s">
        <v>3</v>
      </c>
      <c r="F4" s="626"/>
      <c r="G4" s="631" t="s">
        <v>4</v>
      </c>
      <c r="H4" s="631" t="s">
        <v>5</v>
      </c>
      <c r="I4" s="634" t="s">
        <v>6</v>
      </c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6"/>
      <c r="U4" s="637" t="s">
        <v>7</v>
      </c>
      <c r="V4" s="634" t="s">
        <v>8</v>
      </c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6"/>
      <c r="AH4" s="637" t="s">
        <v>9</v>
      </c>
      <c r="AI4" s="634" t="s">
        <v>10</v>
      </c>
      <c r="AJ4" s="635"/>
      <c r="AK4" s="635"/>
      <c r="AL4" s="635"/>
      <c r="AM4" s="635"/>
      <c r="AN4" s="635"/>
      <c r="AO4" s="635"/>
      <c r="AP4" s="635"/>
      <c r="AQ4" s="635"/>
      <c r="AR4" s="635"/>
      <c r="AS4" s="635"/>
      <c r="AT4" s="636"/>
      <c r="AU4" s="637" t="s">
        <v>11</v>
      </c>
      <c r="AV4" s="634" t="s">
        <v>12</v>
      </c>
      <c r="AW4" s="635"/>
      <c r="AX4" s="635"/>
      <c r="AY4" s="635"/>
      <c r="AZ4" s="635"/>
      <c r="BA4" s="635"/>
      <c r="BB4" s="635"/>
      <c r="BC4" s="635"/>
      <c r="BD4" s="635"/>
      <c r="BE4" s="635"/>
      <c r="BF4" s="635"/>
      <c r="BG4" s="636"/>
      <c r="BH4" s="640" t="s">
        <v>13</v>
      </c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</row>
    <row r="5" spans="1:193" s="12" customFormat="1" ht="56.25" customHeight="1" thickBot="1" x14ac:dyDescent="0.3">
      <c r="A5" s="10"/>
      <c r="B5" s="623"/>
      <c r="C5" s="627"/>
      <c r="D5" s="628"/>
      <c r="E5" s="627"/>
      <c r="F5" s="628"/>
      <c r="G5" s="632"/>
      <c r="H5" s="632"/>
      <c r="I5" s="643" t="s">
        <v>14</v>
      </c>
      <c r="J5" s="644"/>
      <c r="K5" s="645"/>
      <c r="L5" s="643" t="s">
        <v>15</v>
      </c>
      <c r="M5" s="644"/>
      <c r="N5" s="645"/>
      <c r="O5" s="643" t="s">
        <v>16</v>
      </c>
      <c r="P5" s="644"/>
      <c r="Q5" s="645"/>
      <c r="R5" s="643" t="s">
        <v>17</v>
      </c>
      <c r="S5" s="644"/>
      <c r="T5" s="645"/>
      <c r="U5" s="638"/>
      <c r="V5" s="13" t="s">
        <v>14</v>
      </c>
      <c r="W5" s="14"/>
      <c r="X5" s="15"/>
      <c r="Y5" s="643" t="s">
        <v>15</v>
      </c>
      <c r="Z5" s="644"/>
      <c r="AA5" s="645"/>
      <c r="AB5" s="643" t="s">
        <v>16</v>
      </c>
      <c r="AC5" s="644"/>
      <c r="AD5" s="645"/>
      <c r="AE5" s="643" t="s">
        <v>17</v>
      </c>
      <c r="AF5" s="644"/>
      <c r="AG5" s="645"/>
      <c r="AH5" s="638"/>
      <c r="AI5" s="643" t="s">
        <v>14</v>
      </c>
      <c r="AJ5" s="644"/>
      <c r="AK5" s="645"/>
      <c r="AL5" s="643" t="s">
        <v>15</v>
      </c>
      <c r="AM5" s="644"/>
      <c r="AN5" s="645"/>
      <c r="AO5" s="643" t="s">
        <v>16</v>
      </c>
      <c r="AP5" s="644"/>
      <c r="AQ5" s="645"/>
      <c r="AR5" s="643" t="s">
        <v>17</v>
      </c>
      <c r="AS5" s="644"/>
      <c r="AT5" s="645"/>
      <c r="AU5" s="638"/>
      <c r="AV5" s="643" t="s">
        <v>14</v>
      </c>
      <c r="AW5" s="644"/>
      <c r="AX5" s="645"/>
      <c r="AY5" s="643" t="s">
        <v>15</v>
      </c>
      <c r="AZ5" s="644"/>
      <c r="BA5" s="645"/>
      <c r="BB5" s="643" t="s">
        <v>16</v>
      </c>
      <c r="BC5" s="644"/>
      <c r="BD5" s="645"/>
      <c r="BE5" s="643" t="s">
        <v>17</v>
      </c>
      <c r="BF5" s="644"/>
      <c r="BG5" s="645"/>
      <c r="BH5" s="64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</row>
    <row r="6" spans="1:193" s="12" customFormat="1" ht="66.75" customHeight="1" thickBot="1" x14ac:dyDescent="0.3">
      <c r="A6" s="10"/>
      <c r="B6" s="624"/>
      <c r="C6" s="629"/>
      <c r="D6" s="630"/>
      <c r="E6" s="629"/>
      <c r="F6" s="630"/>
      <c r="G6" s="633"/>
      <c r="H6" s="633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7">
        <v>10</v>
      </c>
      <c r="S6" s="17">
        <v>11</v>
      </c>
      <c r="T6" s="17">
        <v>12</v>
      </c>
      <c r="U6" s="639"/>
      <c r="V6" s="16">
        <v>1</v>
      </c>
      <c r="W6" s="16">
        <v>2</v>
      </c>
      <c r="X6" s="16">
        <v>3</v>
      </c>
      <c r="Y6" s="16">
        <v>4</v>
      </c>
      <c r="Z6" s="16">
        <v>5</v>
      </c>
      <c r="AA6" s="16">
        <v>6</v>
      </c>
      <c r="AB6" s="16">
        <v>7</v>
      </c>
      <c r="AC6" s="16">
        <v>8</v>
      </c>
      <c r="AD6" s="16">
        <v>9</v>
      </c>
      <c r="AE6" s="17">
        <v>10</v>
      </c>
      <c r="AF6" s="17">
        <v>11</v>
      </c>
      <c r="AG6" s="17">
        <v>12</v>
      </c>
      <c r="AH6" s="639"/>
      <c r="AI6" s="16">
        <v>1</v>
      </c>
      <c r="AJ6" s="16">
        <v>2</v>
      </c>
      <c r="AK6" s="16">
        <v>3</v>
      </c>
      <c r="AL6" s="16">
        <v>4</v>
      </c>
      <c r="AM6" s="16">
        <v>5</v>
      </c>
      <c r="AN6" s="16">
        <v>6</v>
      </c>
      <c r="AO6" s="16">
        <v>7</v>
      </c>
      <c r="AP6" s="16">
        <v>8</v>
      </c>
      <c r="AQ6" s="16">
        <v>9</v>
      </c>
      <c r="AR6" s="17">
        <v>10</v>
      </c>
      <c r="AS6" s="17">
        <v>11</v>
      </c>
      <c r="AT6" s="17">
        <v>12</v>
      </c>
      <c r="AU6" s="639"/>
      <c r="AV6" s="16">
        <v>1</v>
      </c>
      <c r="AW6" s="16">
        <v>2</v>
      </c>
      <c r="AX6" s="16">
        <v>3</v>
      </c>
      <c r="AY6" s="16">
        <v>4</v>
      </c>
      <c r="AZ6" s="16">
        <v>5</v>
      </c>
      <c r="BA6" s="16">
        <v>6</v>
      </c>
      <c r="BB6" s="16">
        <v>7</v>
      </c>
      <c r="BC6" s="16">
        <v>8</v>
      </c>
      <c r="BD6" s="16">
        <v>9</v>
      </c>
      <c r="BE6" s="17">
        <v>10</v>
      </c>
      <c r="BF6" s="17">
        <v>11</v>
      </c>
      <c r="BG6" s="17">
        <v>12</v>
      </c>
      <c r="BH6" s="642"/>
      <c r="BI6" s="9"/>
      <c r="BJ6" s="9"/>
      <c r="BK6" s="9"/>
      <c r="BL6" s="9"/>
      <c r="BM6" s="9"/>
      <c r="BN6" s="9"/>
      <c r="BO6" s="9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</row>
    <row r="7" spans="1:193" ht="80.099999999999994" hidden="1" customHeight="1" thickBot="1" x14ac:dyDescent="0.5">
      <c r="A7" s="18"/>
      <c r="B7" s="19"/>
      <c r="C7" s="646"/>
      <c r="D7" s="646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7"/>
      <c r="Z7" s="647"/>
      <c r="AA7" s="647"/>
      <c r="AB7" s="647"/>
      <c r="AC7" s="647"/>
      <c r="AD7" s="647"/>
      <c r="AE7" s="647"/>
      <c r="AF7" s="647"/>
      <c r="AG7" s="647"/>
      <c r="AH7" s="647"/>
      <c r="AI7" s="647"/>
      <c r="AJ7" s="647"/>
      <c r="AK7" s="647"/>
      <c r="AL7" s="647"/>
      <c r="AM7" s="647"/>
      <c r="AN7" s="647"/>
      <c r="AO7" s="647"/>
      <c r="AP7" s="647"/>
      <c r="AQ7" s="647"/>
      <c r="AR7" s="647"/>
      <c r="AS7" s="647"/>
      <c r="AT7" s="647"/>
      <c r="AU7" s="647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1"/>
      <c r="BH7" s="22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</row>
    <row r="8" spans="1:193" s="28" customFormat="1" ht="117" customHeight="1" thickBot="1" x14ac:dyDescent="0.75">
      <c r="A8" s="23"/>
      <c r="B8" s="24">
        <v>1</v>
      </c>
      <c r="C8" s="648" t="s">
        <v>116</v>
      </c>
      <c r="D8" s="649"/>
      <c r="E8" s="649"/>
      <c r="F8" s="650"/>
      <c r="G8" s="25" t="s">
        <v>18</v>
      </c>
      <c r="H8" s="25">
        <f>325</f>
        <v>325</v>
      </c>
      <c r="I8" s="651">
        <v>0</v>
      </c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3"/>
      <c r="U8" s="549"/>
      <c r="V8" s="651">
        <v>0</v>
      </c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3"/>
      <c r="AH8" s="549"/>
      <c r="AI8" s="651">
        <v>0</v>
      </c>
      <c r="AJ8" s="652"/>
      <c r="AK8" s="652"/>
      <c r="AL8" s="652"/>
      <c r="AM8" s="652"/>
      <c r="AN8" s="652"/>
      <c r="AO8" s="652"/>
      <c r="AP8" s="652"/>
      <c r="AQ8" s="652"/>
      <c r="AR8" s="652"/>
      <c r="AS8" s="652"/>
      <c r="AT8" s="653"/>
      <c r="AU8" s="549"/>
      <c r="AV8" s="651">
        <v>325</v>
      </c>
      <c r="AW8" s="652"/>
      <c r="AX8" s="652"/>
      <c r="AY8" s="652"/>
      <c r="AZ8" s="652"/>
      <c r="BA8" s="652"/>
      <c r="BB8" s="652"/>
      <c r="BC8" s="652"/>
      <c r="BD8" s="652"/>
      <c r="BE8" s="652"/>
      <c r="BF8" s="652"/>
      <c r="BG8" s="653"/>
      <c r="BH8" s="550"/>
      <c r="BI8" s="9"/>
      <c r="BJ8" s="9"/>
      <c r="BK8" s="9"/>
      <c r="BL8" s="26"/>
      <c r="BM8" s="26"/>
      <c r="BN8" s="26"/>
      <c r="BO8" s="26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</row>
    <row r="9" spans="1:193" s="32" customFormat="1" ht="110.1" customHeight="1" thickBot="1" x14ac:dyDescent="0.75">
      <c r="A9" s="667"/>
      <c r="B9" s="668">
        <v>2</v>
      </c>
      <c r="C9" s="671" t="s">
        <v>117</v>
      </c>
      <c r="D9" s="672"/>
      <c r="E9" s="672"/>
      <c r="F9" s="673"/>
      <c r="G9" s="29" t="s">
        <v>18</v>
      </c>
      <c r="H9" s="29">
        <f t="shared" ref="H9:T9" si="0">H37+H58+H76+H96+H99+H100</f>
        <v>143267.67600000001</v>
      </c>
      <c r="I9" s="654">
        <f t="shared" si="0"/>
        <v>21094.459781737813</v>
      </c>
      <c r="J9" s="655">
        <f t="shared" si="0"/>
        <v>0</v>
      </c>
      <c r="K9" s="655">
        <f t="shared" si="0"/>
        <v>0</v>
      </c>
      <c r="L9" s="655">
        <f t="shared" si="0"/>
        <v>0</v>
      </c>
      <c r="M9" s="655">
        <f t="shared" si="0"/>
        <v>0</v>
      </c>
      <c r="N9" s="655">
        <f t="shared" si="0"/>
        <v>0</v>
      </c>
      <c r="O9" s="655">
        <f t="shared" si="0"/>
        <v>0</v>
      </c>
      <c r="P9" s="655">
        <f t="shared" si="0"/>
        <v>0</v>
      </c>
      <c r="Q9" s="655">
        <f t="shared" si="0"/>
        <v>0</v>
      </c>
      <c r="R9" s="655">
        <f t="shared" si="0"/>
        <v>0</v>
      </c>
      <c r="S9" s="655">
        <f t="shared" si="0"/>
        <v>0</v>
      </c>
      <c r="T9" s="656">
        <f t="shared" si="0"/>
        <v>0</v>
      </c>
      <c r="U9" s="30"/>
      <c r="V9" s="654">
        <f t="shared" ref="V9:AG9" si="1">V37+V58+V76+V96+V99+V100</f>
        <v>58007.351278352471</v>
      </c>
      <c r="W9" s="655">
        <f t="shared" si="1"/>
        <v>0</v>
      </c>
      <c r="X9" s="655">
        <f t="shared" si="1"/>
        <v>0</v>
      </c>
      <c r="Y9" s="655">
        <f t="shared" si="1"/>
        <v>0</v>
      </c>
      <c r="Z9" s="655">
        <f t="shared" si="1"/>
        <v>0</v>
      </c>
      <c r="AA9" s="655">
        <f t="shared" si="1"/>
        <v>0</v>
      </c>
      <c r="AB9" s="655">
        <f t="shared" si="1"/>
        <v>0</v>
      </c>
      <c r="AC9" s="655">
        <f t="shared" si="1"/>
        <v>0</v>
      </c>
      <c r="AD9" s="655">
        <f t="shared" si="1"/>
        <v>0</v>
      </c>
      <c r="AE9" s="655">
        <f t="shared" si="1"/>
        <v>0</v>
      </c>
      <c r="AF9" s="655">
        <f t="shared" si="1"/>
        <v>0</v>
      </c>
      <c r="AG9" s="656">
        <f t="shared" si="1"/>
        <v>0</v>
      </c>
      <c r="AH9" s="30"/>
      <c r="AI9" s="654">
        <f t="shared" ref="AI9:AT9" si="2">AI37+AI58+AI76+AI96+AI99+AI100</f>
        <v>49118.46880711519</v>
      </c>
      <c r="AJ9" s="655">
        <f t="shared" si="2"/>
        <v>0</v>
      </c>
      <c r="AK9" s="655">
        <f t="shared" si="2"/>
        <v>0</v>
      </c>
      <c r="AL9" s="655">
        <f t="shared" si="2"/>
        <v>0</v>
      </c>
      <c r="AM9" s="655">
        <f t="shared" si="2"/>
        <v>0</v>
      </c>
      <c r="AN9" s="655">
        <f t="shared" si="2"/>
        <v>0</v>
      </c>
      <c r="AO9" s="655">
        <f t="shared" si="2"/>
        <v>0</v>
      </c>
      <c r="AP9" s="655">
        <f t="shared" si="2"/>
        <v>0</v>
      </c>
      <c r="AQ9" s="655">
        <f t="shared" si="2"/>
        <v>0</v>
      </c>
      <c r="AR9" s="655">
        <f t="shared" si="2"/>
        <v>0</v>
      </c>
      <c r="AS9" s="655">
        <f t="shared" si="2"/>
        <v>0</v>
      </c>
      <c r="AT9" s="656">
        <f t="shared" si="2"/>
        <v>0</v>
      </c>
      <c r="AU9" s="30"/>
      <c r="AV9" s="654">
        <f t="shared" ref="AV9:BG9" si="3">AV37+AV58+AV76+AV96+AV99+AV100</f>
        <v>15047.395132794532</v>
      </c>
      <c r="AW9" s="655">
        <f t="shared" si="3"/>
        <v>0</v>
      </c>
      <c r="AX9" s="655">
        <f t="shared" si="3"/>
        <v>0</v>
      </c>
      <c r="AY9" s="655">
        <f t="shared" si="3"/>
        <v>0</v>
      </c>
      <c r="AZ9" s="655">
        <f t="shared" si="3"/>
        <v>0</v>
      </c>
      <c r="BA9" s="655">
        <f t="shared" si="3"/>
        <v>0</v>
      </c>
      <c r="BB9" s="655">
        <f t="shared" si="3"/>
        <v>0</v>
      </c>
      <c r="BC9" s="655">
        <f t="shared" si="3"/>
        <v>0</v>
      </c>
      <c r="BD9" s="655">
        <f t="shared" si="3"/>
        <v>0</v>
      </c>
      <c r="BE9" s="655">
        <f t="shared" si="3"/>
        <v>0</v>
      </c>
      <c r="BF9" s="655">
        <f t="shared" si="3"/>
        <v>0</v>
      </c>
      <c r="BG9" s="656">
        <f t="shared" si="3"/>
        <v>0</v>
      </c>
      <c r="BH9" s="29"/>
      <c r="BI9" s="9"/>
      <c r="BJ9" s="9"/>
      <c r="BK9" s="9"/>
      <c r="BL9" s="9"/>
      <c r="BM9" s="9"/>
      <c r="BN9" s="9"/>
      <c r="BO9" s="9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</row>
    <row r="10" spans="1:193" s="32" customFormat="1" ht="47.25" thickBot="1" x14ac:dyDescent="0.75">
      <c r="A10" s="667"/>
      <c r="B10" s="669"/>
      <c r="C10" s="674" t="s">
        <v>118</v>
      </c>
      <c r="D10" s="675"/>
      <c r="E10" s="675"/>
      <c r="F10" s="676"/>
      <c r="G10" s="29" t="s">
        <v>18</v>
      </c>
      <c r="H10" s="29">
        <f>H9-H77</f>
        <v>142812.356</v>
      </c>
      <c r="I10" s="654">
        <f>I9-I77</f>
        <v>20639.139781737813</v>
      </c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6"/>
      <c r="U10" s="30"/>
      <c r="V10" s="654">
        <f>V9-V77</f>
        <v>58007.351278352471</v>
      </c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6"/>
      <c r="AH10" s="30"/>
      <c r="AI10" s="654">
        <f>AI9-AI77</f>
        <v>49118.46880711519</v>
      </c>
      <c r="AJ10" s="655"/>
      <c r="AK10" s="655"/>
      <c r="AL10" s="655"/>
      <c r="AM10" s="655"/>
      <c r="AN10" s="655"/>
      <c r="AO10" s="655"/>
      <c r="AP10" s="655"/>
      <c r="AQ10" s="655"/>
      <c r="AR10" s="655"/>
      <c r="AS10" s="655"/>
      <c r="AT10" s="656"/>
      <c r="AU10" s="30"/>
      <c r="AV10" s="654">
        <f>AV9-AV77</f>
        <v>15047.395132794532</v>
      </c>
      <c r="AW10" s="655"/>
      <c r="AX10" s="655"/>
      <c r="AY10" s="655"/>
      <c r="AZ10" s="655"/>
      <c r="BA10" s="655"/>
      <c r="BB10" s="655"/>
      <c r="BC10" s="655"/>
      <c r="BD10" s="655"/>
      <c r="BE10" s="655"/>
      <c r="BF10" s="655"/>
      <c r="BG10" s="656"/>
      <c r="BH10" s="29"/>
      <c r="BI10" s="33"/>
      <c r="BJ10" s="33"/>
      <c r="BK10" s="33"/>
      <c r="BL10" s="9"/>
      <c r="BM10" s="9"/>
      <c r="BN10" s="9"/>
      <c r="BO10" s="9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</row>
    <row r="11" spans="1:193" ht="51" customHeight="1" x14ac:dyDescent="0.55000000000000004">
      <c r="A11" s="667"/>
      <c r="B11" s="669"/>
      <c r="C11" s="657" t="s">
        <v>19</v>
      </c>
      <c r="D11" s="658"/>
      <c r="E11" s="659" t="s">
        <v>20</v>
      </c>
      <c r="F11" s="660"/>
      <c r="G11" s="34" t="s">
        <v>21</v>
      </c>
      <c r="H11" s="35">
        <f>4443.6-107.2</f>
        <v>4336.4000000000005</v>
      </c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  <c r="T11" s="39"/>
      <c r="U11" s="40">
        <v>1000</v>
      </c>
      <c r="V11" s="41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40">
        <v>2293</v>
      </c>
      <c r="AI11" s="41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3"/>
      <c r="AU11" s="40">
        <f>H11-U11-AH11</f>
        <v>1043.4000000000005</v>
      </c>
      <c r="AV11" s="41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3"/>
      <c r="BH11" s="40"/>
      <c r="BI11" s="33"/>
      <c r="BJ11" s="44">
        <f>H11-U11-AH11-AU11-BH11</f>
        <v>0</v>
      </c>
      <c r="BK11" s="33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</row>
    <row r="12" spans="1:193" ht="51" customHeight="1" x14ac:dyDescent="0.55000000000000004">
      <c r="A12" s="667"/>
      <c r="B12" s="669"/>
      <c r="C12" s="657"/>
      <c r="D12" s="658"/>
      <c r="E12" s="661"/>
      <c r="F12" s="662"/>
      <c r="G12" s="45" t="s">
        <v>22</v>
      </c>
      <c r="H12" s="46">
        <v>133.94999999999999</v>
      </c>
      <c r="I12" s="47"/>
      <c r="J12" s="48"/>
      <c r="K12" s="48"/>
      <c r="L12" s="49"/>
      <c r="M12" s="49"/>
      <c r="N12" s="49"/>
      <c r="O12" s="49"/>
      <c r="P12" s="49"/>
      <c r="Q12" s="49"/>
      <c r="R12" s="49"/>
      <c r="S12" s="49"/>
      <c r="T12" s="50"/>
      <c r="U12" s="51">
        <f>H12*U11/H11</f>
        <v>30.889678073978413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51">
        <f>H12*AH11/H11</f>
        <v>70.830031823632496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  <c r="AU12" s="51">
        <f>H12*AU11/H11</f>
        <v>32.230290102389084</v>
      </c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3"/>
      <c r="BH12" s="51"/>
      <c r="BI12" s="33"/>
      <c r="BJ12" s="44">
        <f t="shared" ref="BJ12:BJ27" si="4">H12-U12-AH12-AU12-BH12</f>
        <v>-7.1054273576010019E-15</v>
      </c>
      <c r="BK12" s="33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</row>
    <row r="13" spans="1:193" ht="66" customHeight="1" x14ac:dyDescent="0.55000000000000004">
      <c r="A13" s="667"/>
      <c r="B13" s="669"/>
      <c r="C13" s="657"/>
      <c r="D13" s="658"/>
      <c r="E13" s="661" t="s">
        <v>23</v>
      </c>
      <c r="F13" s="662"/>
      <c r="G13" s="54" t="s">
        <v>40</v>
      </c>
      <c r="H13" s="55">
        <v>769.17</v>
      </c>
      <c r="I13" s="47"/>
      <c r="J13" s="48"/>
      <c r="K13" s="48"/>
      <c r="L13" s="49"/>
      <c r="M13" s="49"/>
      <c r="N13" s="49"/>
      <c r="O13" s="49"/>
      <c r="P13" s="49"/>
      <c r="Q13" s="49"/>
      <c r="R13" s="49"/>
      <c r="S13" s="49"/>
      <c r="T13" s="56"/>
      <c r="U13" s="57">
        <f>H13</f>
        <v>769.17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8"/>
      <c r="AG13" s="59"/>
      <c r="AH13" s="57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1"/>
      <c r="AU13" s="57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1"/>
      <c r="BH13" s="57"/>
      <c r="BI13" s="33"/>
      <c r="BJ13" s="44">
        <f t="shared" si="4"/>
        <v>0</v>
      </c>
      <c r="BK13" s="33"/>
      <c r="BL13" s="33"/>
      <c r="BM13" s="33"/>
      <c r="BN13" s="33"/>
      <c r="BO13" s="33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</row>
    <row r="14" spans="1:193" ht="51" customHeight="1" x14ac:dyDescent="0.55000000000000004">
      <c r="A14" s="667"/>
      <c r="B14" s="669"/>
      <c r="C14" s="657"/>
      <c r="D14" s="658"/>
      <c r="E14" s="663" t="s">
        <v>24</v>
      </c>
      <c r="F14" s="664"/>
      <c r="G14" s="54" t="s">
        <v>21</v>
      </c>
      <c r="H14" s="55">
        <v>165</v>
      </c>
      <c r="I14" s="62"/>
      <c r="J14" s="63"/>
      <c r="K14" s="63"/>
      <c r="L14" s="64"/>
      <c r="M14" s="64"/>
      <c r="N14" s="64"/>
      <c r="O14" s="64"/>
      <c r="P14" s="64"/>
      <c r="Q14" s="64"/>
      <c r="R14" s="64"/>
      <c r="S14" s="64"/>
      <c r="T14" s="65"/>
      <c r="U14" s="66">
        <v>165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8"/>
      <c r="AH14" s="66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8"/>
      <c r="AU14" s="66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8"/>
      <c r="BH14" s="66"/>
      <c r="BI14" s="33"/>
      <c r="BJ14" s="44">
        <f t="shared" si="4"/>
        <v>0</v>
      </c>
      <c r="BK14" s="33"/>
      <c r="BL14" s="33"/>
      <c r="BM14" s="33"/>
      <c r="BN14" s="33"/>
      <c r="BO14" s="33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</row>
    <row r="15" spans="1:193" ht="51" customHeight="1" x14ac:dyDescent="0.55000000000000004">
      <c r="A15" s="667"/>
      <c r="B15" s="669"/>
      <c r="C15" s="657"/>
      <c r="D15" s="658"/>
      <c r="E15" s="663"/>
      <c r="F15" s="664"/>
      <c r="G15" s="45" t="s">
        <v>22</v>
      </c>
      <c r="H15" s="55">
        <v>4.54</v>
      </c>
      <c r="I15" s="47"/>
      <c r="J15" s="48"/>
      <c r="K15" s="48"/>
      <c r="L15" s="49"/>
      <c r="M15" s="49"/>
      <c r="N15" s="49"/>
      <c r="O15" s="49"/>
      <c r="P15" s="49"/>
      <c r="Q15" s="49"/>
      <c r="R15" s="49"/>
      <c r="S15" s="49"/>
      <c r="T15" s="50"/>
      <c r="U15" s="51">
        <v>4.54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51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3"/>
      <c r="AU15" s="51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3"/>
      <c r="BH15" s="51"/>
      <c r="BI15" s="33"/>
      <c r="BJ15" s="44">
        <f t="shared" si="4"/>
        <v>0</v>
      </c>
      <c r="BK15" s="33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</row>
    <row r="16" spans="1:193" ht="51" customHeight="1" x14ac:dyDescent="0.55000000000000004">
      <c r="A16" s="667"/>
      <c r="B16" s="669"/>
      <c r="C16" s="657"/>
      <c r="D16" s="658"/>
      <c r="E16" s="665" t="s">
        <v>25</v>
      </c>
      <c r="F16" s="666"/>
      <c r="G16" s="54" t="s">
        <v>21</v>
      </c>
      <c r="H16" s="55">
        <v>130</v>
      </c>
      <c r="I16" s="62"/>
      <c r="J16" s="63"/>
      <c r="K16" s="63"/>
      <c r="L16" s="64"/>
      <c r="M16" s="64"/>
      <c r="N16" s="64"/>
      <c r="O16" s="64"/>
      <c r="P16" s="64"/>
      <c r="Q16" s="64"/>
      <c r="R16" s="64"/>
      <c r="S16" s="64"/>
      <c r="T16" s="65"/>
      <c r="U16" s="66">
        <v>130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8"/>
      <c r="AH16" s="66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8"/>
      <c r="AU16" s="66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8"/>
      <c r="BH16" s="66"/>
      <c r="BI16" s="9"/>
      <c r="BJ16" s="44">
        <f t="shared" si="4"/>
        <v>0</v>
      </c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</row>
    <row r="17" spans="1:187" ht="51" customHeight="1" x14ac:dyDescent="0.55000000000000004">
      <c r="A17" s="667"/>
      <c r="B17" s="669"/>
      <c r="C17" s="657"/>
      <c r="D17" s="658"/>
      <c r="E17" s="665"/>
      <c r="F17" s="666"/>
      <c r="G17" s="45" t="s">
        <v>22</v>
      </c>
      <c r="H17" s="55">
        <v>4.5199999999999996</v>
      </c>
      <c r="I17" s="47"/>
      <c r="J17" s="48"/>
      <c r="K17" s="48"/>
      <c r="L17" s="49"/>
      <c r="M17" s="49"/>
      <c r="N17" s="49"/>
      <c r="O17" s="49"/>
      <c r="P17" s="49"/>
      <c r="Q17" s="49"/>
      <c r="R17" s="49"/>
      <c r="S17" s="49"/>
      <c r="T17" s="50"/>
      <c r="U17" s="51">
        <v>4.5199999999999996</v>
      </c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3"/>
      <c r="AH17" s="51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3"/>
      <c r="AU17" s="51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3"/>
      <c r="BH17" s="51"/>
      <c r="BI17" s="9"/>
      <c r="BJ17" s="44">
        <f t="shared" si="4"/>
        <v>0</v>
      </c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</row>
    <row r="18" spans="1:187" ht="66" customHeight="1" x14ac:dyDescent="0.55000000000000004">
      <c r="A18" s="667"/>
      <c r="B18" s="669"/>
      <c r="C18" s="657"/>
      <c r="D18" s="658"/>
      <c r="E18" s="665" t="s">
        <v>26</v>
      </c>
      <c r="F18" s="666"/>
      <c r="G18" s="54" t="s">
        <v>40</v>
      </c>
      <c r="H18" s="55">
        <v>230</v>
      </c>
      <c r="I18" s="47"/>
      <c r="J18" s="48"/>
      <c r="K18" s="48"/>
      <c r="L18" s="49"/>
      <c r="M18" s="49"/>
      <c r="N18" s="49"/>
      <c r="O18" s="49"/>
      <c r="P18" s="49"/>
      <c r="Q18" s="49"/>
      <c r="R18" s="49"/>
      <c r="S18" s="49"/>
      <c r="T18" s="56"/>
      <c r="U18" s="69">
        <f>H18</f>
        <v>230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8"/>
      <c r="AG18" s="59"/>
      <c r="AH18" s="69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1"/>
      <c r="AU18" s="69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1"/>
      <c r="BH18" s="69"/>
      <c r="BI18" s="9"/>
      <c r="BJ18" s="44">
        <f t="shared" si="4"/>
        <v>0</v>
      </c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</row>
    <row r="19" spans="1:187" ht="102" customHeight="1" x14ac:dyDescent="0.55000000000000004">
      <c r="A19" s="667"/>
      <c r="B19" s="669"/>
      <c r="C19" s="657"/>
      <c r="D19" s="658"/>
      <c r="E19" s="665" t="s">
        <v>27</v>
      </c>
      <c r="F19" s="666"/>
      <c r="G19" s="54" t="s">
        <v>21</v>
      </c>
      <c r="H19" s="55">
        <v>1786.5</v>
      </c>
      <c r="I19" s="47"/>
      <c r="J19" s="48"/>
      <c r="K19" s="48"/>
      <c r="L19" s="49"/>
      <c r="M19" s="49"/>
      <c r="N19" s="49"/>
      <c r="O19" s="49"/>
      <c r="P19" s="49"/>
      <c r="Q19" s="49"/>
      <c r="R19" s="49"/>
      <c r="S19" s="49"/>
      <c r="T19" s="56"/>
      <c r="U19" s="69">
        <v>330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8"/>
      <c r="AG19" s="59"/>
      <c r="AH19" s="69">
        <f>H19-U19</f>
        <v>1456.5</v>
      </c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1"/>
      <c r="AU19" s="69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1"/>
      <c r="BH19" s="69"/>
      <c r="BI19" s="9"/>
      <c r="BJ19" s="44">
        <f t="shared" si="4"/>
        <v>0</v>
      </c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</row>
    <row r="20" spans="1:187" ht="51" customHeight="1" x14ac:dyDescent="0.55000000000000004">
      <c r="A20" s="667"/>
      <c r="B20" s="669"/>
      <c r="C20" s="657"/>
      <c r="D20" s="658"/>
      <c r="E20" s="661" t="s">
        <v>28</v>
      </c>
      <c r="F20" s="662"/>
      <c r="G20" s="54" t="s">
        <v>21</v>
      </c>
      <c r="H20" s="70">
        <f>6220-133.77</f>
        <v>6086.23</v>
      </c>
      <c r="I20" s="62"/>
      <c r="J20" s="63"/>
      <c r="K20" s="63"/>
      <c r="L20" s="64"/>
      <c r="M20" s="64"/>
      <c r="N20" s="64"/>
      <c r="O20" s="64"/>
      <c r="P20" s="64"/>
      <c r="Q20" s="64"/>
      <c r="R20" s="64"/>
      <c r="S20" s="64"/>
      <c r="T20" s="65"/>
      <c r="U20" s="71">
        <v>950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8"/>
      <c r="AH20" s="71">
        <v>2325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8"/>
      <c r="AU20" s="71">
        <v>2325</v>
      </c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71">
        <f>H20-U20-AH20-AU20</f>
        <v>486.22999999999956</v>
      </c>
      <c r="BI20" s="72"/>
      <c r="BJ20" s="44">
        <f t="shared" si="4"/>
        <v>0</v>
      </c>
      <c r="BK20" s="72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</row>
    <row r="21" spans="1:187" ht="51" customHeight="1" x14ac:dyDescent="0.55000000000000004">
      <c r="A21" s="667"/>
      <c r="B21" s="669"/>
      <c r="C21" s="657"/>
      <c r="D21" s="658"/>
      <c r="E21" s="661"/>
      <c r="F21" s="662"/>
      <c r="G21" s="54" t="s">
        <v>29</v>
      </c>
      <c r="H21" s="55">
        <v>45.89</v>
      </c>
      <c r="I21" s="47"/>
      <c r="J21" s="48"/>
      <c r="K21" s="48"/>
      <c r="L21" s="49"/>
      <c r="M21" s="49"/>
      <c r="N21" s="49"/>
      <c r="O21" s="49"/>
      <c r="P21" s="49"/>
      <c r="Q21" s="49"/>
      <c r="R21" s="49"/>
      <c r="S21" s="49"/>
      <c r="T21" s="50"/>
      <c r="U21" s="57">
        <f>H21/H20*U20</f>
        <v>7.1629728091117171</v>
      </c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  <c r="AH21" s="57">
        <f>H21/H20*AH20</f>
        <v>17.530433453878675</v>
      </c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3"/>
      <c r="AU21" s="57">
        <f>H21/H20*AU20</f>
        <v>17.530433453878675</v>
      </c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H21" s="57">
        <f>H21/H20*BH20</f>
        <v>3.6661602831309335</v>
      </c>
      <c r="BI21" s="72"/>
      <c r="BJ21" s="44">
        <f t="shared" si="4"/>
        <v>0</v>
      </c>
      <c r="BK21" s="72"/>
      <c r="BL21" s="33"/>
      <c r="BM21" s="33"/>
      <c r="BN21" s="33"/>
      <c r="BO21" s="33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</row>
    <row r="22" spans="1:187" ht="51" customHeight="1" x14ac:dyDescent="0.55000000000000004">
      <c r="A22" s="667"/>
      <c r="B22" s="669"/>
      <c r="C22" s="657"/>
      <c r="D22" s="658"/>
      <c r="E22" s="663" t="s">
        <v>30</v>
      </c>
      <c r="F22" s="664"/>
      <c r="G22" s="54" t="s">
        <v>21</v>
      </c>
      <c r="H22" s="70">
        <v>14326</v>
      </c>
      <c r="I22" s="62"/>
      <c r="J22" s="63"/>
      <c r="K22" s="63"/>
      <c r="L22" s="64"/>
      <c r="M22" s="64"/>
      <c r="N22" s="64"/>
      <c r="O22" s="64"/>
      <c r="P22" s="64"/>
      <c r="Q22" s="64"/>
      <c r="R22" s="64"/>
      <c r="S22" s="64"/>
      <c r="T22" s="65"/>
      <c r="U22" s="73">
        <v>310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8"/>
      <c r="AH22" s="73">
        <v>5704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73">
        <f>7211</f>
        <v>7211</v>
      </c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5"/>
      <c r="BH22" s="73">
        <f>H22-U22-AH22-AU22</f>
        <v>1101</v>
      </c>
      <c r="BI22" s="72"/>
      <c r="BJ22" s="44">
        <f t="shared" si="4"/>
        <v>0</v>
      </c>
      <c r="BK22" s="72"/>
      <c r="BL22" s="33"/>
      <c r="BM22" s="33"/>
      <c r="BN22" s="33"/>
      <c r="BO22" s="33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</row>
    <row r="23" spans="1:187" ht="51" customHeight="1" x14ac:dyDescent="0.55000000000000004">
      <c r="A23" s="667"/>
      <c r="B23" s="669"/>
      <c r="C23" s="657"/>
      <c r="D23" s="658"/>
      <c r="E23" s="663"/>
      <c r="F23" s="664"/>
      <c r="G23" s="45" t="s">
        <v>22</v>
      </c>
      <c r="H23" s="55">
        <v>71</v>
      </c>
      <c r="I23" s="47"/>
      <c r="J23" s="48"/>
      <c r="K23" s="48"/>
      <c r="L23" s="49"/>
      <c r="M23" s="49"/>
      <c r="N23" s="49"/>
      <c r="O23" s="49"/>
      <c r="P23" s="49"/>
      <c r="Q23" s="49"/>
      <c r="R23" s="49"/>
      <c r="S23" s="49"/>
      <c r="T23" s="50"/>
      <c r="U23" s="51">
        <f>H23/H22*U22</f>
        <v>1.53636744380846</v>
      </c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3"/>
      <c r="AH23" s="51">
        <f>H23/H22*AH22</f>
        <v>28.269160966075663</v>
      </c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3"/>
      <c r="AU23" s="51">
        <f>H23/H22*AU22</f>
        <v>35.737889152589695</v>
      </c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76"/>
      <c r="BH23" s="51">
        <f>H23/H22*BH22</f>
        <v>5.4565824375261753</v>
      </c>
      <c r="BI23" s="9"/>
      <c r="BJ23" s="44">
        <f t="shared" si="4"/>
        <v>1.1546319456101628E-14</v>
      </c>
      <c r="BK23" s="9"/>
      <c r="BL23" s="33"/>
      <c r="BM23" s="33"/>
      <c r="BN23" s="33"/>
      <c r="BO23" s="33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</row>
    <row r="24" spans="1:187" ht="51" customHeight="1" x14ac:dyDescent="0.55000000000000004">
      <c r="A24" s="667"/>
      <c r="B24" s="669"/>
      <c r="C24" s="657"/>
      <c r="D24" s="658"/>
      <c r="E24" s="663" t="s">
        <v>31</v>
      </c>
      <c r="F24" s="664"/>
      <c r="G24" s="54" t="s">
        <v>21</v>
      </c>
      <c r="H24" s="55">
        <v>14326</v>
      </c>
      <c r="I24" s="62"/>
      <c r="J24" s="63"/>
      <c r="K24" s="63"/>
      <c r="L24" s="64"/>
      <c r="M24" s="64"/>
      <c r="N24" s="64"/>
      <c r="O24" s="64"/>
      <c r="P24" s="64"/>
      <c r="Q24" s="64"/>
      <c r="R24" s="64"/>
      <c r="S24" s="64"/>
      <c r="T24" s="65"/>
      <c r="U24" s="66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8"/>
      <c r="AH24" s="66">
        <v>3302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8"/>
      <c r="AU24" s="66">
        <v>3313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5"/>
      <c r="BH24" s="66">
        <v>7711</v>
      </c>
      <c r="BI24" s="9"/>
      <c r="BJ24" s="44">
        <f t="shared" si="4"/>
        <v>0</v>
      </c>
      <c r="BK24" s="9"/>
      <c r="BL24" s="33"/>
      <c r="BM24" s="33"/>
      <c r="BN24" s="33"/>
      <c r="BO24" s="33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</row>
    <row r="25" spans="1:187" ht="51" customHeight="1" x14ac:dyDescent="0.55000000000000004">
      <c r="A25" s="667"/>
      <c r="B25" s="669"/>
      <c r="C25" s="657"/>
      <c r="D25" s="658"/>
      <c r="E25" s="663"/>
      <c r="F25" s="664"/>
      <c r="G25" s="45" t="s">
        <v>22</v>
      </c>
      <c r="H25" s="55">
        <v>21</v>
      </c>
      <c r="I25" s="47"/>
      <c r="J25" s="48"/>
      <c r="K25" s="48"/>
      <c r="L25" s="49"/>
      <c r="M25" s="49"/>
      <c r="N25" s="49"/>
      <c r="O25" s="49"/>
      <c r="P25" s="49"/>
      <c r="Q25" s="49"/>
      <c r="R25" s="49"/>
      <c r="S25" s="49"/>
      <c r="T25" s="50"/>
      <c r="U25" s="51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51">
        <f>H25/H24*AH24</f>
        <v>4.8402903811252269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3"/>
      <c r="AU25" s="51">
        <f>H25/H24*AU24</f>
        <v>4.85641490995393</v>
      </c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77"/>
      <c r="BH25" s="51">
        <f>H25/H24*BH24</f>
        <v>11.303294708920843</v>
      </c>
      <c r="BI25" s="33"/>
      <c r="BJ25" s="44">
        <f t="shared" si="4"/>
        <v>0</v>
      </c>
      <c r="BK25" s="33"/>
      <c r="BL25" s="33"/>
      <c r="BM25" s="33"/>
      <c r="BN25" s="33"/>
      <c r="BO25" s="33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</row>
    <row r="26" spans="1:187" ht="66" customHeight="1" x14ac:dyDescent="0.55000000000000004">
      <c r="A26" s="667"/>
      <c r="B26" s="669"/>
      <c r="C26" s="657"/>
      <c r="D26" s="658"/>
      <c r="E26" s="663" t="s">
        <v>32</v>
      </c>
      <c r="F26" s="664"/>
      <c r="G26" s="54" t="s">
        <v>21</v>
      </c>
      <c r="H26" s="70">
        <v>1737</v>
      </c>
      <c r="I26" s="78"/>
      <c r="J26" s="63"/>
      <c r="K26" s="63"/>
      <c r="L26" s="64"/>
      <c r="M26" s="64"/>
      <c r="N26" s="64"/>
      <c r="O26" s="64"/>
      <c r="P26" s="64"/>
      <c r="Q26" s="64"/>
      <c r="R26" s="64"/>
      <c r="S26" s="64"/>
      <c r="T26" s="79"/>
      <c r="U26" s="80">
        <v>200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79"/>
      <c r="AH26" s="80">
        <v>18</v>
      </c>
      <c r="AI26" s="64"/>
      <c r="AJ26" s="64"/>
      <c r="AK26" s="64"/>
      <c r="AL26" s="64"/>
      <c r="AM26" s="64"/>
      <c r="AN26" s="64"/>
      <c r="AO26" s="64"/>
      <c r="AP26" s="64"/>
      <c r="AQ26" s="64"/>
      <c r="AR26" s="81"/>
      <c r="AS26" s="81"/>
      <c r="AT26" s="82"/>
      <c r="AU26" s="80">
        <f>794-270</f>
        <v>524</v>
      </c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4"/>
      <c r="BH26" s="80">
        <f>H26-U26-AH26-AU26</f>
        <v>995</v>
      </c>
      <c r="BI26" s="33"/>
      <c r="BJ26" s="44">
        <f t="shared" si="4"/>
        <v>0</v>
      </c>
      <c r="BK26" s="33"/>
      <c r="BL26" s="87"/>
      <c r="BM26" s="33"/>
      <c r="BN26" s="33"/>
      <c r="BO26" s="33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</row>
    <row r="27" spans="1:187" ht="66" customHeight="1" x14ac:dyDescent="0.55000000000000004">
      <c r="A27" s="667"/>
      <c r="B27" s="669"/>
      <c r="C27" s="657"/>
      <c r="D27" s="658"/>
      <c r="E27" s="663" t="s">
        <v>33</v>
      </c>
      <c r="F27" s="664"/>
      <c r="G27" s="54" t="s">
        <v>34</v>
      </c>
      <c r="H27" s="55">
        <v>10</v>
      </c>
      <c r="I27" s="88"/>
      <c r="J27" s="85"/>
      <c r="K27" s="85"/>
      <c r="L27" s="81"/>
      <c r="M27" s="81"/>
      <c r="N27" s="81"/>
      <c r="O27" s="81"/>
      <c r="P27" s="81"/>
      <c r="Q27" s="81"/>
      <c r="R27" s="81"/>
      <c r="S27" s="81"/>
      <c r="T27" s="86"/>
      <c r="U27" s="8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  <c r="AH27" s="89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2"/>
      <c r="AU27" s="89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4"/>
      <c r="BH27" s="51">
        <v>10</v>
      </c>
      <c r="BI27" s="33"/>
      <c r="BJ27" s="44">
        <f t="shared" si="4"/>
        <v>0</v>
      </c>
      <c r="BK27" s="33"/>
      <c r="BL27" s="33"/>
      <c r="BM27" s="33"/>
      <c r="BN27" s="33"/>
      <c r="BO27" s="33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</row>
    <row r="28" spans="1:187" s="9" customFormat="1" ht="66" customHeight="1" x14ac:dyDescent="0.55000000000000004">
      <c r="A28" s="667"/>
      <c r="B28" s="669"/>
      <c r="C28" s="657"/>
      <c r="D28" s="658"/>
      <c r="E28" s="688" t="s">
        <v>35</v>
      </c>
      <c r="F28" s="689"/>
      <c r="G28" s="54"/>
      <c r="H28" s="55"/>
      <c r="I28" s="95"/>
      <c r="J28" s="96"/>
      <c r="K28" s="96"/>
      <c r="L28" s="97"/>
      <c r="M28" s="97"/>
      <c r="N28" s="97"/>
      <c r="O28" s="97"/>
      <c r="P28" s="97"/>
      <c r="Q28" s="97"/>
      <c r="R28" s="97"/>
      <c r="S28" s="97"/>
      <c r="T28" s="98"/>
      <c r="U28" s="99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1"/>
      <c r="AH28" s="99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1"/>
      <c r="AU28" s="99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1"/>
      <c r="BH28" s="99"/>
      <c r="BI28" s="33"/>
      <c r="BJ28" s="44"/>
      <c r="BK28" s="33"/>
    </row>
    <row r="29" spans="1:187" s="9" customFormat="1" ht="90" customHeight="1" x14ac:dyDescent="0.55000000000000004">
      <c r="A29" s="667"/>
      <c r="B29" s="669"/>
      <c r="C29" s="657"/>
      <c r="D29" s="658"/>
      <c r="E29" s="677" t="s">
        <v>36</v>
      </c>
      <c r="F29" s="678"/>
      <c r="G29" s="102" t="s">
        <v>21</v>
      </c>
      <c r="H29" s="103">
        <v>2240</v>
      </c>
      <c r="I29" s="104"/>
      <c r="J29" s="105"/>
      <c r="K29" s="105"/>
      <c r="L29" s="106"/>
      <c r="M29" s="106"/>
      <c r="N29" s="106"/>
      <c r="O29" s="106"/>
      <c r="P29" s="106"/>
      <c r="Q29" s="106"/>
      <c r="R29" s="106"/>
      <c r="S29" s="106"/>
      <c r="T29" s="107"/>
      <c r="U29" s="108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10"/>
      <c r="AH29" s="108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10"/>
      <c r="AU29" s="10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9"/>
      <c r="BH29" s="108"/>
      <c r="BI29" s="111"/>
      <c r="BJ29" s="44"/>
      <c r="BK29" s="111"/>
      <c r="BL29" s="26"/>
      <c r="BM29" s="26"/>
      <c r="BN29" s="26"/>
      <c r="BO29" s="26"/>
    </row>
    <row r="30" spans="1:187" s="9" customFormat="1" ht="90" customHeight="1" x14ac:dyDescent="0.55000000000000004">
      <c r="A30" s="667"/>
      <c r="B30" s="669"/>
      <c r="C30" s="657"/>
      <c r="D30" s="658"/>
      <c r="E30" s="677" t="s">
        <v>37</v>
      </c>
      <c r="F30" s="678"/>
      <c r="G30" s="112" t="s">
        <v>21</v>
      </c>
      <c r="H30" s="113">
        <v>813</v>
      </c>
      <c r="I30" s="114"/>
      <c r="J30" s="85"/>
      <c r="K30" s="85"/>
      <c r="L30" s="81"/>
      <c r="M30" s="81"/>
      <c r="N30" s="81"/>
      <c r="O30" s="81"/>
      <c r="P30" s="81"/>
      <c r="Q30" s="81"/>
      <c r="R30" s="81"/>
      <c r="S30" s="81"/>
      <c r="T30" s="82"/>
      <c r="U30" s="115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2"/>
      <c r="AH30" s="115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2"/>
      <c r="AU30" s="115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4"/>
      <c r="BH30" s="115"/>
      <c r="BI30" s="116"/>
      <c r="BJ30" s="44"/>
      <c r="BK30" s="116"/>
    </row>
    <row r="31" spans="1:187" s="33" customFormat="1" ht="90" customHeight="1" x14ac:dyDescent="0.55000000000000004">
      <c r="A31" s="667"/>
      <c r="B31" s="669"/>
      <c r="C31" s="657"/>
      <c r="D31" s="658"/>
      <c r="E31" s="677" t="s">
        <v>30</v>
      </c>
      <c r="F31" s="678"/>
      <c r="G31" s="45" t="s">
        <v>22</v>
      </c>
      <c r="H31" s="113">
        <v>3.92</v>
      </c>
      <c r="I31" s="114"/>
      <c r="J31" s="85"/>
      <c r="K31" s="85"/>
      <c r="L31" s="81"/>
      <c r="M31" s="81"/>
      <c r="N31" s="81"/>
      <c r="O31" s="81"/>
      <c r="P31" s="81"/>
      <c r="Q31" s="81"/>
      <c r="R31" s="81"/>
      <c r="S31" s="81"/>
      <c r="T31" s="82"/>
      <c r="U31" s="115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2"/>
      <c r="AH31" s="115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2"/>
      <c r="AU31" s="115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4"/>
      <c r="BH31" s="115"/>
      <c r="BI31" s="116"/>
      <c r="BJ31" s="44"/>
      <c r="BK31" s="116"/>
      <c r="BL31" s="9"/>
      <c r="BM31" s="9"/>
      <c r="BN31" s="9"/>
      <c r="BO31" s="9"/>
    </row>
    <row r="32" spans="1:187" s="9" customFormat="1" ht="51" customHeight="1" x14ac:dyDescent="0.55000000000000004">
      <c r="A32" s="667"/>
      <c r="B32" s="669"/>
      <c r="C32" s="657"/>
      <c r="D32" s="658"/>
      <c r="E32" s="677" t="s">
        <v>38</v>
      </c>
      <c r="F32" s="678"/>
      <c r="G32" s="112" t="s">
        <v>21</v>
      </c>
      <c r="H32" s="113">
        <v>14326</v>
      </c>
      <c r="I32" s="62"/>
      <c r="J32" s="63"/>
      <c r="K32" s="63"/>
      <c r="L32" s="64"/>
      <c r="M32" s="64"/>
      <c r="N32" s="64"/>
      <c r="O32" s="64"/>
      <c r="P32" s="64"/>
      <c r="Q32" s="64"/>
      <c r="R32" s="64"/>
      <c r="S32" s="64"/>
      <c r="T32" s="65"/>
      <c r="U32" s="115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8"/>
      <c r="AH32" s="115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8"/>
      <c r="AU32" s="115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117"/>
      <c r="BH32" s="115"/>
      <c r="BI32" s="116"/>
      <c r="BJ32" s="44"/>
      <c r="BK32" s="116"/>
    </row>
    <row r="33" spans="1:198" s="33" customFormat="1" ht="51" customHeight="1" x14ac:dyDescent="0.55000000000000004">
      <c r="A33" s="667"/>
      <c r="B33" s="669"/>
      <c r="C33" s="657"/>
      <c r="D33" s="658"/>
      <c r="E33" s="677"/>
      <c r="F33" s="678"/>
      <c r="G33" s="45" t="s">
        <v>22</v>
      </c>
      <c r="H33" s="113">
        <v>10.053000000000001</v>
      </c>
      <c r="I33" s="47"/>
      <c r="J33" s="48"/>
      <c r="K33" s="48"/>
      <c r="L33" s="49"/>
      <c r="M33" s="49"/>
      <c r="N33" s="49"/>
      <c r="O33" s="49"/>
      <c r="P33" s="49"/>
      <c r="Q33" s="49"/>
      <c r="R33" s="49"/>
      <c r="S33" s="49"/>
      <c r="T33" s="50"/>
      <c r="U33" s="115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3"/>
      <c r="AH33" s="115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  <c r="AU33" s="115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77"/>
      <c r="BH33" s="115"/>
      <c r="BI33" s="116"/>
      <c r="BJ33" s="44"/>
      <c r="BK33" s="116"/>
      <c r="BL33" s="9"/>
      <c r="BM33" s="9"/>
      <c r="BN33" s="9"/>
      <c r="BO33" s="9"/>
    </row>
    <row r="34" spans="1:198" s="33" customFormat="1" ht="66" customHeight="1" x14ac:dyDescent="0.55000000000000004">
      <c r="A34" s="667"/>
      <c r="B34" s="669"/>
      <c r="C34" s="657"/>
      <c r="D34" s="658"/>
      <c r="E34" s="677" t="s">
        <v>31</v>
      </c>
      <c r="F34" s="678"/>
      <c r="G34" s="45" t="s">
        <v>22</v>
      </c>
      <c r="H34" s="113">
        <v>37.74</v>
      </c>
      <c r="I34" s="114"/>
      <c r="J34" s="85"/>
      <c r="K34" s="85"/>
      <c r="L34" s="81"/>
      <c r="M34" s="81"/>
      <c r="N34" s="81"/>
      <c r="O34" s="81"/>
      <c r="P34" s="81"/>
      <c r="Q34" s="81"/>
      <c r="R34" s="81"/>
      <c r="S34" s="81"/>
      <c r="T34" s="82"/>
      <c r="U34" s="115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2"/>
      <c r="AH34" s="115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2"/>
      <c r="AU34" s="115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4"/>
      <c r="BH34" s="115"/>
      <c r="BI34" s="116"/>
      <c r="BJ34" s="44"/>
      <c r="BK34" s="116"/>
      <c r="BL34" s="9"/>
      <c r="BM34" s="9"/>
      <c r="BN34" s="9"/>
      <c r="BO34" s="9"/>
    </row>
    <row r="35" spans="1:198" s="9" customFormat="1" ht="66" customHeight="1" x14ac:dyDescent="0.55000000000000004">
      <c r="A35" s="667"/>
      <c r="B35" s="669"/>
      <c r="C35" s="657"/>
      <c r="D35" s="658"/>
      <c r="E35" s="677" t="s">
        <v>32</v>
      </c>
      <c r="F35" s="678"/>
      <c r="G35" s="112" t="s">
        <v>21</v>
      </c>
      <c r="H35" s="118">
        <v>216</v>
      </c>
      <c r="I35" s="114"/>
      <c r="J35" s="85"/>
      <c r="K35" s="85"/>
      <c r="L35" s="81"/>
      <c r="M35" s="81"/>
      <c r="N35" s="81"/>
      <c r="O35" s="81"/>
      <c r="P35" s="81"/>
      <c r="Q35" s="81"/>
      <c r="R35" s="81"/>
      <c r="S35" s="81"/>
      <c r="T35" s="82"/>
      <c r="U35" s="11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2"/>
      <c r="AH35" s="119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2"/>
      <c r="AU35" s="119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119"/>
      <c r="BI35" s="116"/>
      <c r="BJ35" s="44"/>
      <c r="BK35" s="116"/>
    </row>
    <row r="36" spans="1:198" s="9" customFormat="1" ht="66" customHeight="1" thickBot="1" x14ac:dyDescent="0.6">
      <c r="A36" s="667"/>
      <c r="B36" s="669"/>
      <c r="C36" s="657"/>
      <c r="D36" s="658"/>
      <c r="E36" s="679" t="s">
        <v>33</v>
      </c>
      <c r="F36" s="680"/>
      <c r="G36" s="120" t="s">
        <v>40</v>
      </c>
      <c r="H36" s="121">
        <v>1896.33</v>
      </c>
      <c r="I36" s="122"/>
      <c r="J36" s="123"/>
      <c r="K36" s="123"/>
      <c r="L36" s="124"/>
      <c r="M36" s="124"/>
      <c r="N36" s="124"/>
      <c r="O36" s="124"/>
      <c r="P36" s="124"/>
      <c r="Q36" s="124"/>
      <c r="R36" s="124"/>
      <c r="S36" s="124"/>
      <c r="T36" s="125"/>
      <c r="U36" s="126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8"/>
      <c r="AH36" s="126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8"/>
      <c r="AU36" s="126"/>
      <c r="AV36" s="127"/>
      <c r="AW36" s="127"/>
      <c r="AX36" s="127"/>
      <c r="AY36" s="90"/>
      <c r="AZ36" s="90"/>
      <c r="BA36" s="90"/>
      <c r="BB36" s="90"/>
      <c r="BC36" s="90"/>
      <c r="BD36" s="90"/>
      <c r="BE36" s="90"/>
      <c r="BF36" s="90"/>
      <c r="BG36" s="92"/>
      <c r="BH36" s="126"/>
      <c r="BJ36" s="44"/>
    </row>
    <row r="37" spans="1:198" s="133" customFormat="1" ht="65.099999999999994" customHeight="1" thickBot="1" x14ac:dyDescent="0.6">
      <c r="A37" s="667"/>
      <c r="B37" s="669"/>
      <c r="C37" s="681" t="s">
        <v>39</v>
      </c>
      <c r="D37" s="682"/>
      <c r="E37" s="683"/>
      <c r="F37" s="684"/>
      <c r="G37" s="129" t="s">
        <v>40</v>
      </c>
      <c r="H37" s="130">
        <f>57073-653.214</f>
        <v>56419.786</v>
      </c>
      <c r="I37" s="685">
        <v>8419.9957817378108</v>
      </c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7"/>
      <c r="U37" s="131"/>
      <c r="V37" s="685">
        <v>21227.40127835247</v>
      </c>
      <c r="W37" s="686"/>
      <c r="X37" s="686"/>
      <c r="Y37" s="686"/>
      <c r="Z37" s="686"/>
      <c r="AA37" s="686"/>
      <c r="AB37" s="686"/>
      <c r="AC37" s="686"/>
      <c r="AD37" s="686"/>
      <c r="AE37" s="686"/>
      <c r="AF37" s="686"/>
      <c r="AG37" s="687"/>
      <c r="AH37" s="132"/>
      <c r="AI37" s="685">
        <v>18459.348807115191</v>
      </c>
      <c r="AJ37" s="686"/>
      <c r="AK37" s="686"/>
      <c r="AL37" s="686"/>
      <c r="AM37" s="686"/>
      <c r="AN37" s="686"/>
      <c r="AO37" s="686"/>
      <c r="AP37" s="686"/>
      <c r="AQ37" s="686"/>
      <c r="AR37" s="686"/>
      <c r="AS37" s="686"/>
      <c r="AT37" s="687"/>
      <c r="AU37" s="132"/>
      <c r="AV37" s="685">
        <f>6182.09220847996 +2130.94792431457</f>
        <v>8313.040132794531</v>
      </c>
      <c r="AW37" s="686"/>
      <c r="AX37" s="686"/>
      <c r="AY37" s="686"/>
      <c r="AZ37" s="686"/>
      <c r="BA37" s="686"/>
      <c r="BB37" s="686"/>
      <c r="BC37" s="686"/>
      <c r="BD37" s="686"/>
      <c r="BE37" s="686"/>
      <c r="BF37" s="686"/>
      <c r="BG37" s="687"/>
      <c r="BH37" s="132"/>
      <c r="BI37" s="9"/>
      <c r="BJ37" s="44">
        <f>H37-I37-V37-AI37-AV37</f>
        <v>0</v>
      </c>
      <c r="BK37" s="9"/>
      <c r="BL37" s="33"/>
      <c r="BM37" s="33"/>
      <c r="BN37" s="33"/>
      <c r="BO37" s="33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</row>
    <row r="38" spans="1:198" ht="65.099999999999994" customHeight="1" thickBot="1" x14ac:dyDescent="0.6">
      <c r="A38" s="667"/>
      <c r="B38" s="669"/>
      <c r="C38" s="690" t="s">
        <v>41</v>
      </c>
      <c r="D38" s="691" t="s">
        <v>42</v>
      </c>
      <c r="E38" s="694" t="s">
        <v>43</v>
      </c>
      <c r="F38" s="695"/>
      <c r="G38" s="134" t="s">
        <v>22</v>
      </c>
      <c r="H38" s="135">
        <v>3.1</v>
      </c>
      <c r="I38" s="136"/>
      <c r="J38" s="137"/>
      <c r="K38" s="138"/>
      <c r="L38" s="139"/>
      <c r="M38" s="139"/>
      <c r="N38" s="140"/>
      <c r="O38" s="139"/>
      <c r="P38" s="139"/>
      <c r="Q38" s="139"/>
      <c r="R38" s="139"/>
      <c r="S38" s="139"/>
      <c r="T38" s="141"/>
      <c r="U38" s="40">
        <v>3.1</v>
      </c>
      <c r="V38" s="142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4"/>
      <c r="AH38" s="40"/>
      <c r="AI38" s="142"/>
      <c r="AJ38" s="143"/>
      <c r="AK38" s="143"/>
      <c r="AL38" s="143"/>
      <c r="AM38" s="143"/>
      <c r="AN38" s="143"/>
      <c r="AO38" s="139"/>
      <c r="AP38" s="139"/>
      <c r="AQ38" s="139"/>
      <c r="AR38" s="139"/>
      <c r="AS38" s="139"/>
      <c r="AT38" s="141"/>
      <c r="AU38" s="145"/>
      <c r="AV38" s="146"/>
      <c r="AW38" s="146"/>
      <c r="AX38" s="146"/>
      <c r="AY38" s="146"/>
      <c r="AZ38" s="146"/>
      <c r="BA38" s="147"/>
      <c r="BB38" s="147"/>
      <c r="BC38" s="146"/>
      <c r="BD38" s="147"/>
      <c r="BE38" s="146"/>
      <c r="BF38" s="146"/>
      <c r="BG38" s="148"/>
      <c r="BH38" s="149"/>
      <c r="BI38" s="9"/>
      <c r="BJ38" s="44"/>
      <c r="BK38" s="9"/>
      <c r="BL38" s="33"/>
      <c r="BM38" s="33"/>
      <c r="BN38" s="33"/>
      <c r="BO38" s="33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</row>
    <row r="39" spans="1:198" ht="64.5" customHeight="1" thickBot="1" x14ac:dyDescent="0.6">
      <c r="A39" s="667"/>
      <c r="B39" s="669"/>
      <c r="C39" s="690"/>
      <c r="D39" s="692"/>
      <c r="E39" s="696" t="s">
        <v>44</v>
      </c>
      <c r="F39" s="697"/>
      <c r="G39" s="150" t="s">
        <v>22</v>
      </c>
      <c r="H39" s="151">
        <f>U39</f>
        <v>45.71</v>
      </c>
      <c r="I39" s="152"/>
      <c r="J39" s="153"/>
      <c r="K39" s="153"/>
      <c r="L39" s="154"/>
      <c r="M39" s="155"/>
      <c r="N39" s="156"/>
      <c r="O39" s="156"/>
      <c r="P39" s="156"/>
      <c r="Q39" s="156"/>
      <c r="R39" s="156"/>
      <c r="S39" s="156"/>
      <c r="T39" s="157"/>
      <c r="U39" s="158">
        <v>45.71</v>
      </c>
      <c r="V39" s="159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1"/>
      <c r="AH39" s="162"/>
      <c r="AI39" s="159"/>
      <c r="AJ39" s="160"/>
      <c r="AK39" s="160"/>
      <c r="AL39" s="160"/>
      <c r="AM39" s="160"/>
      <c r="AN39" s="160"/>
      <c r="AO39" s="160"/>
      <c r="AP39" s="160"/>
      <c r="AQ39" s="160"/>
      <c r="AR39" s="160"/>
      <c r="AS39" s="156"/>
      <c r="AT39" s="157"/>
      <c r="AU39" s="163"/>
      <c r="AV39" s="164"/>
      <c r="AW39" s="164"/>
      <c r="AX39" s="164"/>
      <c r="AY39" s="164"/>
      <c r="AZ39" s="164"/>
      <c r="BA39" s="164"/>
      <c r="BB39" s="165"/>
      <c r="BC39" s="164"/>
      <c r="BD39" s="164"/>
      <c r="BE39" s="164"/>
      <c r="BF39" s="164"/>
      <c r="BG39" s="166"/>
      <c r="BH39" s="167"/>
      <c r="BI39" s="9"/>
      <c r="BJ39" s="44"/>
      <c r="BK39" s="9"/>
      <c r="BL39" s="33"/>
      <c r="BM39" s="33"/>
      <c r="BN39" s="33"/>
      <c r="BO39" s="33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</row>
    <row r="40" spans="1:198" ht="65.099999999999994" customHeight="1" thickBot="1" x14ac:dyDescent="0.6">
      <c r="A40" s="667"/>
      <c r="B40" s="669"/>
      <c r="C40" s="690"/>
      <c r="D40" s="692"/>
      <c r="E40" s="698" t="s">
        <v>45</v>
      </c>
      <c r="F40" s="699"/>
      <c r="G40" s="45" t="s">
        <v>22</v>
      </c>
      <c r="H40" s="168">
        <v>6.5</v>
      </c>
      <c r="I40" s="169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6"/>
      <c r="U40" s="163"/>
      <c r="V40" s="170"/>
      <c r="W40" s="171"/>
      <c r="X40" s="171"/>
      <c r="Y40" s="171"/>
      <c r="Z40" s="171"/>
      <c r="AA40" s="171"/>
      <c r="AB40" s="171"/>
      <c r="AC40" s="172"/>
      <c r="AD40" s="171"/>
      <c r="AE40" s="171"/>
      <c r="AF40" s="171"/>
      <c r="AG40" s="173"/>
      <c r="AH40" s="163">
        <v>6.5</v>
      </c>
      <c r="AI40" s="170"/>
      <c r="AJ40" s="171"/>
      <c r="AK40" s="171"/>
      <c r="AL40" s="171"/>
      <c r="AM40" s="171"/>
      <c r="AN40" s="171"/>
      <c r="AO40" s="171"/>
      <c r="AP40" s="174"/>
      <c r="AQ40" s="172"/>
      <c r="AR40" s="175"/>
      <c r="AS40" s="164"/>
      <c r="AT40" s="166"/>
      <c r="AU40" s="163"/>
      <c r="AV40" s="169"/>
      <c r="AW40" s="164"/>
      <c r="AX40" s="164"/>
      <c r="AY40" s="164"/>
      <c r="AZ40" s="164"/>
      <c r="BA40" s="164"/>
      <c r="BB40" s="164"/>
      <c r="BC40" s="176"/>
      <c r="BD40" s="164"/>
      <c r="BE40" s="177"/>
      <c r="BF40" s="164"/>
      <c r="BG40" s="166"/>
      <c r="BH40" s="167"/>
      <c r="BI40" s="26"/>
      <c r="BJ40" s="44"/>
      <c r="BK40" s="26"/>
      <c r="BL40" s="33"/>
      <c r="BM40" s="33"/>
      <c r="BN40" s="33"/>
      <c r="BO40" s="33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</row>
    <row r="41" spans="1:198" ht="65.099999999999994" customHeight="1" thickBot="1" x14ac:dyDescent="0.6">
      <c r="A41" s="667"/>
      <c r="B41" s="669"/>
      <c r="C41" s="690"/>
      <c r="D41" s="692"/>
      <c r="E41" s="698" t="s">
        <v>46</v>
      </c>
      <c r="F41" s="699"/>
      <c r="G41" s="45" t="s">
        <v>22</v>
      </c>
      <c r="H41" s="168">
        <v>6.5</v>
      </c>
      <c r="I41" s="170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3"/>
      <c r="U41" s="163">
        <v>0.9</v>
      </c>
      <c r="V41" s="170"/>
      <c r="W41" s="171"/>
      <c r="X41" s="172"/>
      <c r="Y41" s="172"/>
      <c r="Z41" s="172"/>
      <c r="AA41" s="172"/>
      <c r="AB41" s="172"/>
      <c r="AC41" s="172"/>
      <c r="AD41" s="172"/>
      <c r="AE41" s="171"/>
      <c r="AF41" s="171"/>
      <c r="AG41" s="173"/>
      <c r="AH41" s="163">
        <f>H41-U41</f>
        <v>5.6</v>
      </c>
      <c r="AI41" s="170"/>
      <c r="AJ41" s="171"/>
      <c r="AK41" s="172"/>
      <c r="AL41" s="172"/>
      <c r="AM41" s="172"/>
      <c r="AN41" s="172"/>
      <c r="AO41" s="172"/>
      <c r="AP41" s="171"/>
      <c r="AQ41" s="171"/>
      <c r="AR41" s="171"/>
      <c r="AS41" s="164"/>
      <c r="AT41" s="166"/>
      <c r="AU41" s="163"/>
      <c r="AV41" s="169"/>
      <c r="AW41" s="164"/>
      <c r="AX41" s="176"/>
      <c r="AY41" s="178"/>
      <c r="AZ41" s="178"/>
      <c r="BA41" s="178"/>
      <c r="BB41" s="178"/>
      <c r="BC41" s="178"/>
      <c r="BD41" s="178"/>
      <c r="BE41" s="178"/>
      <c r="BF41" s="179"/>
      <c r="BG41" s="166"/>
      <c r="BH41" s="167"/>
      <c r="BI41" s="9"/>
      <c r="BJ41" s="44"/>
      <c r="BK41" s="9"/>
      <c r="BL41" s="33"/>
      <c r="BM41" s="33"/>
      <c r="BN41" s="33"/>
      <c r="BO41" s="33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</row>
    <row r="42" spans="1:198" s="33" customFormat="1" ht="65.099999999999994" customHeight="1" thickBot="1" x14ac:dyDescent="0.6">
      <c r="A42" s="667"/>
      <c r="B42" s="669"/>
      <c r="C42" s="690"/>
      <c r="D42" s="692"/>
      <c r="E42" s="696" t="s">
        <v>47</v>
      </c>
      <c r="F42" s="697"/>
      <c r="G42" s="180" t="s">
        <v>22</v>
      </c>
      <c r="H42" s="181">
        <f>U42+AH42+AU42</f>
        <v>133.82</v>
      </c>
      <c r="I42" s="182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4"/>
      <c r="U42" s="185">
        <v>16.79</v>
      </c>
      <c r="V42" s="182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4"/>
      <c r="AH42" s="186">
        <v>60.75</v>
      </c>
      <c r="AI42" s="182"/>
      <c r="AJ42" s="183"/>
      <c r="AK42" s="183"/>
      <c r="AL42" s="183"/>
      <c r="AM42" s="183"/>
      <c r="AN42" s="183"/>
      <c r="AO42" s="187"/>
      <c r="AP42" s="187"/>
      <c r="AQ42" s="188"/>
      <c r="AR42" s="189"/>
      <c r="AS42" s="190"/>
      <c r="AT42" s="191"/>
      <c r="AU42" s="185">
        <v>56.28</v>
      </c>
      <c r="AV42" s="188"/>
      <c r="AW42" s="188"/>
      <c r="AX42" s="188"/>
      <c r="AY42" s="188"/>
      <c r="AZ42" s="188"/>
      <c r="BA42" s="188"/>
      <c r="BB42" s="192"/>
      <c r="BC42" s="188"/>
      <c r="BD42" s="188"/>
      <c r="BE42" s="188"/>
      <c r="BF42" s="188"/>
      <c r="BG42" s="193"/>
      <c r="BH42" s="194"/>
      <c r="BI42" s="9"/>
      <c r="BJ42" s="44"/>
      <c r="BK42" s="9"/>
    </row>
    <row r="43" spans="1:198" s="203" customFormat="1" ht="65.099999999999994" customHeight="1" thickBot="1" x14ac:dyDescent="0.6">
      <c r="A43" s="667"/>
      <c r="B43" s="669"/>
      <c r="C43" s="690"/>
      <c r="D43" s="692"/>
      <c r="E43" s="696" t="s">
        <v>48</v>
      </c>
      <c r="F43" s="697"/>
      <c r="G43" s="180" t="s">
        <v>49</v>
      </c>
      <c r="H43" s="195">
        <v>5302.2</v>
      </c>
      <c r="I43" s="196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8"/>
      <c r="U43" s="199">
        <v>1300</v>
      </c>
      <c r="V43" s="20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1"/>
      <c r="AH43" s="199">
        <f>H43-U43</f>
        <v>4002.2</v>
      </c>
      <c r="AI43" s="20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1"/>
      <c r="AU43" s="199"/>
      <c r="AV43" s="190"/>
      <c r="AW43" s="190"/>
      <c r="AX43" s="190"/>
      <c r="AY43" s="190"/>
      <c r="AZ43" s="190"/>
      <c r="BA43" s="190"/>
      <c r="BB43" s="201"/>
      <c r="BC43" s="190"/>
      <c r="BD43" s="190"/>
      <c r="BE43" s="190"/>
      <c r="BF43" s="190"/>
      <c r="BG43" s="191"/>
      <c r="BH43" s="202"/>
      <c r="BI43" s="33"/>
      <c r="BJ43" s="44"/>
      <c r="BK43" s="33"/>
      <c r="BL43" s="9"/>
      <c r="BM43" s="9"/>
      <c r="BN43" s="9"/>
      <c r="BO43" s="9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</row>
    <row r="44" spans="1:198" ht="65.099999999999994" customHeight="1" thickBot="1" x14ac:dyDescent="0.6">
      <c r="A44" s="667"/>
      <c r="B44" s="669"/>
      <c r="C44" s="690"/>
      <c r="D44" s="692"/>
      <c r="E44" s="698" t="s">
        <v>50</v>
      </c>
      <c r="F44" s="699"/>
      <c r="G44" s="204" t="s">
        <v>51</v>
      </c>
      <c r="H44" s="205">
        <v>55</v>
      </c>
      <c r="I44" s="206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8"/>
      <c r="U44" s="209"/>
      <c r="V44" s="206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8"/>
      <c r="AH44" s="209" t="s">
        <v>52</v>
      </c>
      <c r="AI44" s="206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8"/>
      <c r="AU44" s="210"/>
      <c r="AV44" s="207"/>
      <c r="AW44" s="207"/>
      <c r="AX44" s="207"/>
      <c r="AY44" s="207"/>
      <c r="AZ44" s="207"/>
      <c r="BA44" s="207"/>
      <c r="BB44" s="211"/>
      <c r="BC44" s="207"/>
      <c r="BD44" s="207"/>
      <c r="BE44" s="207"/>
      <c r="BF44" s="207"/>
      <c r="BG44" s="208"/>
      <c r="BH44" s="212"/>
      <c r="BI44" s="33"/>
      <c r="BJ44" s="44"/>
      <c r="BK44" s="33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</row>
    <row r="45" spans="1:198" s="9" customFormat="1" ht="75" customHeight="1" thickBot="1" x14ac:dyDescent="0.6">
      <c r="A45" s="667"/>
      <c r="B45" s="669"/>
      <c r="C45" s="690"/>
      <c r="D45" s="692"/>
      <c r="E45" s="698" t="s">
        <v>53</v>
      </c>
      <c r="F45" s="699"/>
      <c r="G45" s="45" t="s">
        <v>54</v>
      </c>
      <c r="H45" s="168">
        <f>U45+AH45+AU45</f>
        <v>139.1</v>
      </c>
      <c r="I45" s="213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214"/>
      <c r="U45" s="186">
        <v>10</v>
      </c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86">
        <f>20.8+(18-10)+2.5</f>
        <v>31.3</v>
      </c>
      <c r="AI45" s="215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214"/>
      <c r="AU45" s="186">
        <f>1+3.5+40+35+4.5+8.6+0.7+(4.5)</f>
        <v>97.8</v>
      </c>
      <c r="AV45" s="215"/>
      <c r="AW45" s="187"/>
      <c r="AX45" s="187"/>
      <c r="AY45" s="187"/>
      <c r="AZ45" s="187"/>
      <c r="BA45" s="214"/>
      <c r="BB45" s="216"/>
      <c r="BC45" s="217"/>
      <c r="BD45" s="218"/>
      <c r="BE45" s="219"/>
      <c r="BF45" s="218"/>
      <c r="BG45" s="220"/>
      <c r="BH45" s="221"/>
      <c r="BI45" s="222"/>
      <c r="BJ45" s="44"/>
      <c r="BK45" s="222"/>
    </row>
    <row r="46" spans="1:198" ht="65.099999999999994" customHeight="1" thickBot="1" x14ac:dyDescent="0.6">
      <c r="A46" s="667"/>
      <c r="B46" s="669"/>
      <c r="C46" s="690"/>
      <c r="D46" s="693"/>
      <c r="E46" s="700" t="s">
        <v>55</v>
      </c>
      <c r="F46" s="701"/>
      <c r="G46" s="223" t="s">
        <v>49</v>
      </c>
      <c r="H46" s="224">
        <v>650</v>
      </c>
      <c r="I46" s="225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7"/>
      <c r="U46" s="228"/>
      <c r="V46" s="225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7"/>
      <c r="AH46" s="228"/>
      <c r="AI46" s="225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7"/>
      <c r="AU46" s="229">
        <v>650</v>
      </c>
      <c r="AV46" s="226"/>
      <c r="AW46" s="226"/>
      <c r="AX46" s="226"/>
      <c r="AY46" s="226"/>
      <c r="AZ46" s="226"/>
      <c r="BA46" s="226"/>
      <c r="BB46" s="230"/>
      <c r="BC46" s="226"/>
      <c r="BD46" s="226"/>
      <c r="BE46" s="226"/>
      <c r="BF46" s="226"/>
      <c r="BG46" s="227"/>
      <c r="BH46" s="231"/>
      <c r="BI46" s="222"/>
      <c r="BJ46" s="44"/>
      <c r="BK46" s="222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</row>
    <row r="47" spans="1:198" ht="65.099999999999994" customHeight="1" thickBot="1" x14ac:dyDescent="0.75">
      <c r="A47" s="667"/>
      <c r="B47" s="669"/>
      <c r="C47" s="690"/>
      <c r="D47" s="691" t="s">
        <v>56</v>
      </c>
      <c r="E47" s="698" t="s">
        <v>57</v>
      </c>
      <c r="F47" s="699"/>
      <c r="G47" s="232" t="s">
        <v>40</v>
      </c>
      <c r="H47" s="205">
        <v>11.75</v>
      </c>
      <c r="I47" s="233"/>
      <c r="J47" s="174"/>
      <c r="K47" s="174"/>
      <c r="L47" s="174"/>
      <c r="M47" s="164"/>
      <c r="N47" s="164"/>
      <c r="O47" s="165"/>
      <c r="P47" s="164"/>
      <c r="Q47" s="164"/>
      <c r="R47" s="164"/>
      <c r="S47" s="164"/>
      <c r="T47" s="234"/>
      <c r="U47" s="235">
        <v>11.75</v>
      </c>
      <c r="V47" s="236"/>
      <c r="W47" s="164"/>
      <c r="X47" s="165"/>
      <c r="Y47" s="164"/>
      <c r="Z47" s="164"/>
      <c r="AA47" s="164"/>
      <c r="AB47" s="164"/>
      <c r="AC47" s="236"/>
      <c r="AD47" s="164"/>
      <c r="AE47" s="165"/>
      <c r="AF47" s="164"/>
      <c r="AG47" s="234"/>
      <c r="AH47" s="163"/>
      <c r="AI47" s="165"/>
      <c r="AJ47" s="234"/>
      <c r="AK47" s="164"/>
      <c r="AL47" s="165"/>
      <c r="AM47" s="164"/>
      <c r="AN47" s="234"/>
      <c r="AO47" s="164"/>
      <c r="AP47" s="236"/>
      <c r="AQ47" s="164"/>
      <c r="AR47" s="164"/>
      <c r="AS47" s="165"/>
      <c r="AT47" s="234"/>
      <c r="AU47" s="618"/>
      <c r="AV47" s="164"/>
      <c r="AW47" s="236"/>
      <c r="AX47" s="164"/>
      <c r="AY47" s="164"/>
      <c r="AZ47" s="165"/>
      <c r="BA47" s="234"/>
      <c r="BB47" s="164"/>
      <c r="BC47" s="236"/>
      <c r="BD47" s="164"/>
      <c r="BE47" s="164"/>
      <c r="BF47" s="165"/>
      <c r="BG47" s="166"/>
      <c r="BH47" s="237"/>
      <c r="BI47" s="238"/>
      <c r="BJ47" s="44"/>
      <c r="BK47" s="238"/>
      <c r="BL47" s="72"/>
      <c r="BM47" s="72"/>
      <c r="BN47" s="72"/>
      <c r="BO47" s="72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</row>
    <row r="48" spans="1:198" ht="65.099999999999994" customHeight="1" thickBot="1" x14ac:dyDescent="0.75">
      <c r="A48" s="667"/>
      <c r="B48" s="669"/>
      <c r="C48" s="690"/>
      <c r="D48" s="692"/>
      <c r="E48" s="698" t="s">
        <v>45</v>
      </c>
      <c r="F48" s="699"/>
      <c r="G48" s="232" t="s">
        <v>22</v>
      </c>
      <c r="H48" s="168">
        <v>5</v>
      </c>
      <c r="I48" s="169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234"/>
      <c r="U48" s="163"/>
      <c r="V48" s="239"/>
      <c r="W48" s="171"/>
      <c r="X48" s="171"/>
      <c r="Y48" s="171"/>
      <c r="Z48" s="171"/>
      <c r="AA48" s="171"/>
      <c r="AB48" s="172"/>
      <c r="AC48" s="172"/>
      <c r="AD48" s="171"/>
      <c r="AE48" s="171"/>
      <c r="AF48" s="164"/>
      <c r="AG48" s="234"/>
      <c r="AH48" s="163">
        <v>5</v>
      </c>
      <c r="AI48" s="165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234"/>
      <c r="AU48" s="618"/>
      <c r="AV48" s="164"/>
      <c r="AW48" s="164"/>
      <c r="AX48" s="164"/>
      <c r="AY48" s="164"/>
      <c r="AZ48" s="164"/>
      <c r="BA48" s="234"/>
      <c r="BB48" s="164"/>
      <c r="BC48" s="164"/>
      <c r="BD48" s="164"/>
      <c r="BE48" s="164"/>
      <c r="BF48" s="164"/>
      <c r="BG48" s="166"/>
      <c r="BH48" s="237"/>
      <c r="BI48" s="238"/>
      <c r="BJ48" s="44"/>
      <c r="BK48" s="238"/>
      <c r="BL48" s="72"/>
      <c r="BM48" s="72"/>
      <c r="BN48" s="72"/>
      <c r="BO48" s="72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</row>
    <row r="49" spans="1:198" ht="65.099999999999994" customHeight="1" thickBot="1" x14ac:dyDescent="0.75">
      <c r="A49" s="667"/>
      <c r="B49" s="669"/>
      <c r="C49" s="690"/>
      <c r="D49" s="692"/>
      <c r="E49" s="698" t="s">
        <v>47</v>
      </c>
      <c r="F49" s="699"/>
      <c r="G49" s="232" t="s">
        <v>22</v>
      </c>
      <c r="H49" s="158">
        <f>U49+AH49</f>
        <v>22.46</v>
      </c>
      <c r="I49" s="169"/>
      <c r="J49" s="164"/>
      <c r="K49" s="171"/>
      <c r="L49" s="172"/>
      <c r="M49" s="172"/>
      <c r="N49" s="172"/>
      <c r="O49" s="172"/>
      <c r="P49" s="172"/>
      <c r="Q49" s="172"/>
      <c r="R49" s="172"/>
      <c r="S49" s="172"/>
      <c r="T49" s="240"/>
      <c r="U49" s="163">
        <v>6.7</v>
      </c>
      <c r="V49" s="241"/>
      <c r="W49" s="172"/>
      <c r="X49" s="172"/>
      <c r="Y49" s="172"/>
      <c r="Z49" s="172"/>
      <c r="AA49" s="172"/>
      <c r="AB49" s="172"/>
      <c r="AC49" s="172"/>
      <c r="AD49" s="172"/>
      <c r="AE49" s="242"/>
      <c r="AF49" s="243"/>
      <c r="AG49" s="234"/>
      <c r="AH49" s="163">
        <v>15.76</v>
      </c>
      <c r="AI49" s="165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234"/>
      <c r="AU49" s="163">
        <v>2</v>
      </c>
      <c r="AV49" s="164"/>
      <c r="AW49" s="164"/>
      <c r="AX49" s="164"/>
      <c r="AY49" s="164"/>
      <c r="AZ49" s="164"/>
      <c r="BA49" s="234"/>
      <c r="BB49" s="164"/>
      <c r="BC49" s="164"/>
      <c r="BD49" s="164"/>
      <c r="BE49" s="164"/>
      <c r="BF49" s="164"/>
      <c r="BG49" s="166"/>
      <c r="BH49" s="237"/>
      <c r="BI49" s="238"/>
      <c r="BJ49" s="44"/>
      <c r="BK49" s="238"/>
      <c r="BL49" s="72"/>
      <c r="BM49" s="72"/>
      <c r="BN49" s="72"/>
      <c r="BO49" s="72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</row>
    <row r="50" spans="1:198" s="203" customFormat="1" ht="65.099999999999994" customHeight="1" thickBot="1" x14ac:dyDescent="0.75">
      <c r="A50" s="667"/>
      <c r="B50" s="669"/>
      <c r="C50" s="690"/>
      <c r="D50" s="692"/>
      <c r="E50" s="696" t="s">
        <v>48</v>
      </c>
      <c r="F50" s="697"/>
      <c r="G50" s="244" t="s">
        <v>49</v>
      </c>
      <c r="H50" s="245">
        <v>1195.7</v>
      </c>
      <c r="I50" s="200"/>
      <c r="J50" s="190"/>
      <c r="K50" s="197"/>
      <c r="L50" s="197"/>
      <c r="M50" s="197"/>
      <c r="N50" s="197"/>
      <c r="O50" s="197"/>
      <c r="P50" s="197"/>
      <c r="Q50" s="197"/>
      <c r="R50" s="197"/>
      <c r="S50" s="197"/>
      <c r="T50" s="246"/>
      <c r="U50" s="199">
        <v>1195.7</v>
      </c>
      <c r="V50" s="201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247"/>
      <c r="AH50" s="186"/>
      <c r="AI50" s="201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247"/>
      <c r="AU50" s="199"/>
      <c r="AV50" s="190"/>
      <c r="AW50" s="190"/>
      <c r="AX50" s="190"/>
      <c r="AY50" s="190"/>
      <c r="AZ50" s="190"/>
      <c r="BA50" s="247"/>
      <c r="BB50" s="190"/>
      <c r="BC50" s="190"/>
      <c r="BD50" s="190"/>
      <c r="BE50" s="190"/>
      <c r="BF50" s="190"/>
      <c r="BG50" s="191"/>
      <c r="BH50" s="202"/>
      <c r="BI50" s="238"/>
      <c r="BJ50" s="44"/>
      <c r="BK50" s="238"/>
      <c r="BL50" s="9"/>
      <c r="BM50" s="9"/>
      <c r="BN50" s="9"/>
      <c r="BO50" s="9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</row>
    <row r="51" spans="1:198" s="33" customFormat="1" ht="75" customHeight="1" thickBot="1" x14ac:dyDescent="0.75">
      <c r="A51" s="667"/>
      <c r="B51" s="669"/>
      <c r="C51" s="690"/>
      <c r="D51" s="692"/>
      <c r="E51" s="702" t="s">
        <v>58</v>
      </c>
      <c r="F51" s="703"/>
      <c r="G51" s="180" t="s">
        <v>54</v>
      </c>
      <c r="H51" s="195">
        <f>U51+AH51+AU51</f>
        <v>134.60000000000002</v>
      </c>
      <c r="I51" s="248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50"/>
      <c r="U51" s="251">
        <f>10+10.4</f>
        <v>20.399999999999999</v>
      </c>
      <c r="V51" s="252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50"/>
      <c r="AH51" s="251">
        <f>66.9+10</f>
        <v>76.900000000000006</v>
      </c>
      <c r="AI51" s="252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199">
        <f>36+1.3</f>
        <v>37.299999999999997</v>
      </c>
      <c r="AV51" s="249"/>
      <c r="AW51" s="249"/>
      <c r="AX51" s="249"/>
      <c r="AY51" s="249"/>
      <c r="AZ51" s="249"/>
      <c r="BA51" s="250"/>
      <c r="BB51" s="253"/>
      <c r="BC51" s="254"/>
      <c r="BD51" s="255"/>
      <c r="BE51" s="256"/>
      <c r="BF51" s="255"/>
      <c r="BG51" s="254"/>
      <c r="BH51" s="257"/>
      <c r="BI51" s="238"/>
      <c r="BJ51" s="44"/>
      <c r="BK51" s="238"/>
      <c r="BL51" s="9"/>
      <c r="BM51" s="9"/>
      <c r="BN51" s="9"/>
      <c r="BO51" s="9"/>
    </row>
    <row r="52" spans="1:198" s="203" customFormat="1" ht="70.5" customHeight="1" thickBot="1" x14ac:dyDescent="0.75">
      <c r="A52" s="667"/>
      <c r="B52" s="669"/>
      <c r="C52" s="690"/>
      <c r="D52" s="693"/>
      <c r="E52" s="707" t="s">
        <v>59</v>
      </c>
      <c r="F52" s="708"/>
      <c r="G52" s="258" t="s">
        <v>49</v>
      </c>
      <c r="H52" s="259">
        <v>235</v>
      </c>
      <c r="I52" s="260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2"/>
      <c r="U52" s="263"/>
      <c r="V52" s="264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2"/>
      <c r="AH52" s="263"/>
      <c r="AI52" s="264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2"/>
      <c r="AU52" s="380">
        <v>235</v>
      </c>
      <c r="AV52" s="261"/>
      <c r="AW52" s="261"/>
      <c r="AX52" s="261"/>
      <c r="AY52" s="261"/>
      <c r="AZ52" s="261"/>
      <c r="BA52" s="262"/>
      <c r="BB52" s="261"/>
      <c r="BC52" s="261"/>
      <c r="BD52" s="261"/>
      <c r="BE52" s="261"/>
      <c r="BF52" s="261"/>
      <c r="BG52" s="265"/>
      <c r="BH52" s="266"/>
      <c r="BI52" s="238"/>
      <c r="BJ52" s="44"/>
      <c r="BK52" s="238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</row>
    <row r="53" spans="1:198" s="203" customFormat="1" ht="65.099999999999994" customHeight="1" thickBot="1" x14ac:dyDescent="0.75">
      <c r="A53" s="667"/>
      <c r="B53" s="669"/>
      <c r="C53" s="690"/>
      <c r="D53" s="709" t="s">
        <v>60</v>
      </c>
      <c r="E53" s="696" t="s">
        <v>45</v>
      </c>
      <c r="F53" s="697"/>
      <c r="G53" s="267" t="s">
        <v>22</v>
      </c>
      <c r="H53" s="181">
        <v>5</v>
      </c>
      <c r="I53" s="268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70"/>
      <c r="U53" s="271"/>
      <c r="V53" s="272"/>
      <c r="W53" s="269"/>
      <c r="X53" s="269"/>
      <c r="Y53" s="269"/>
      <c r="Z53" s="269"/>
      <c r="AA53" s="269"/>
      <c r="AB53" s="273"/>
      <c r="AC53" s="273"/>
      <c r="AD53" s="269"/>
      <c r="AE53" s="269"/>
      <c r="AF53" s="269"/>
      <c r="AG53" s="270"/>
      <c r="AH53" s="271">
        <v>5</v>
      </c>
      <c r="AI53" s="274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6"/>
      <c r="AU53" s="277"/>
      <c r="AV53" s="275"/>
      <c r="AW53" s="275"/>
      <c r="AX53" s="275"/>
      <c r="AY53" s="275"/>
      <c r="AZ53" s="275"/>
      <c r="BA53" s="276"/>
      <c r="BB53" s="275"/>
      <c r="BC53" s="275"/>
      <c r="BD53" s="275"/>
      <c r="BE53" s="275"/>
      <c r="BF53" s="275"/>
      <c r="BG53" s="278"/>
      <c r="BH53" s="279"/>
      <c r="BI53" s="280"/>
      <c r="BJ53" s="44"/>
      <c r="BK53" s="280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</row>
    <row r="54" spans="1:198" s="203" customFormat="1" ht="65.099999999999994" customHeight="1" thickBot="1" x14ac:dyDescent="0.75">
      <c r="A54" s="667"/>
      <c r="B54" s="669"/>
      <c r="C54" s="690"/>
      <c r="D54" s="710"/>
      <c r="E54" s="696" t="s">
        <v>47</v>
      </c>
      <c r="F54" s="697"/>
      <c r="G54" s="267" t="s">
        <v>22</v>
      </c>
      <c r="H54" s="185">
        <f>U54+AH54</f>
        <v>17.805</v>
      </c>
      <c r="I54" s="200"/>
      <c r="J54" s="197"/>
      <c r="K54" s="197"/>
      <c r="L54" s="183"/>
      <c r="M54" s="183"/>
      <c r="N54" s="183"/>
      <c r="O54" s="183"/>
      <c r="P54" s="183"/>
      <c r="Q54" s="183"/>
      <c r="R54" s="183"/>
      <c r="S54" s="183"/>
      <c r="T54" s="281"/>
      <c r="U54" s="186">
        <f>6.875-0.175</f>
        <v>6.7</v>
      </c>
      <c r="V54" s="282"/>
      <c r="W54" s="183"/>
      <c r="X54" s="183"/>
      <c r="Y54" s="183"/>
      <c r="Z54" s="183"/>
      <c r="AA54" s="183"/>
      <c r="AB54" s="183"/>
      <c r="AC54" s="183"/>
      <c r="AD54" s="183"/>
      <c r="AE54" s="283"/>
      <c r="AF54" s="284"/>
      <c r="AG54" s="246"/>
      <c r="AH54" s="186">
        <v>11.105</v>
      </c>
      <c r="AI54" s="201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247"/>
      <c r="AU54" s="186">
        <v>2</v>
      </c>
      <c r="AV54" s="190"/>
      <c r="AW54" s="190"/>
      <c r="AX54" s="190"/>
      <c r="AY54" s="190"/>
      <c r="AZ54" s="190"/>
      <c r="BA54" s="247"/>
      <c r="BB54" s="190"/>
      <c r="BC54" s="190"/>
      <c r="BD54" s="190"/>
      <c r="BE54" s="190"/>
      <c r="BF54" s="190"/>
      <c r="BG54" s="191"/>
      <c r="BH54" s="202"/>
      <c r="BI54" s="280"/>
      <c r="BJ54" s="44"/>
      <c r="BK54" s="280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</row>
    <row r="55" spans="1:198" s="203" customFormat="1" ht="65.099999999999994" customHeight="1" thickBot="1" x14ac:dyDescent="0.75">
      <c r="A55" s="667"/>
      <c r="B55" s="669"/>
      <c r="C55" s="690"/>
      <c r="D55" s="710"/>
      <c r="E55" s="696" t="s">
        <v>48</v>
      </c>
      <c r="F55" s="697"/>
      <c r="G55" s="244" t="s">
        <v>49</v>
      </c>
      <c r="H55" s="285">
        <v>342.5</v>
      </c>
      <c r="I55" s="286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8"/>
      <c r="U55" s="289">
        <v>342.5</v>
      </c>
      <c r="V55" s="290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8"/>
      <c r="AH55" s="291"/>
      <c r="AI55" s="290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8"/>
      <c r="AU55" s="199"/>
      <c r="AV55" s="190"/>
      <c r="AW55" s="190"/>
      <c r="AX55" s="190"/>
      <c r="AY55" s="190"/>
      <c r="AZ55" s="190"/>
      <c r="BA55" s="247"/>
      <c r="BB55" s="190"/>
      <c r="BC55" s="190"/>
      <c r="BD55" s="190"/>
      <c r="BE55" s="190"/>
      <c r="BF55" s="190"/>
      <c r="BG55" s="191"/>
      <c r="BH55" s="202"/>
      <c r="BI55" s="280"/>
      <c r="BJ55" s="44"/>
      <c r="BK55" s="280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</row>
    <row r="56" spans="1:198" s="33" customFormat="1" ht="75" customHeight="1" thickBot="1" x14ac:dyDescent="0.75">
      <c r="A56" s="667"/>
      <c r="B56" s="669"/>
      <c r="C56" s="690"/>
      <c r="D56" s="710"/>
      <c r="E56" s="702" t="s">
        <v>58</v>
      </c>
      <c r="F56" s="703"/>
      <c r="G56" s="180" t="s">
        <v>54</v>
      </c>
      <c r="H56" s="181">
        <f>U56+AH56+AU56</f>
        <v>470.15</v>
      </c>
      <c r="I56" s="248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50"/>
      <c r="U56" s="251">
        <f>10+1.91+10+18.8+(6+5+3)+2</f>
        <v>56.71</v>
      </c>
      <c r="V56" s="252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50"/>
      <c r="AH56" s="251">
        <f>(56.4-14)+(8.04-2)+10+1+0.5+3</f>
        <v>62.94</v>
      </c>
      <c r="AI56" s="252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50"/>
      <c r="AU56" s="292">
        <f>50+50+35+200+5+1.5+9</f>
        <v>350.5</v>
      </c>
      <c r="AV56" s="249"/>
      <c r="AW56" s="249"/>
      <c r="AX56" s="249"/>
      <c r="AY56" s="249"/>
      <c r="AZ56" s="249"/>
      <c r="BA56" s="250"/>
      <c r="BB56" s="253"/>
      <c r="BC56" s="254"/>
      <c r="BD56" s="255"/>
      <c r="BE56" s="293"/>
      <c r="BF56" s="255"/>
      <c r="BG56" s="294"/>
      <c r="BH56" s="257"/>
      <c r="BI56" s="238"/>
      <c r="BJ56" s="44"/>
      <c r="BK56" s="238"/>
      <c r="BL56" s="111"/>
      <c r="BM56" s="111"/>
      <c r="BN56" s="111"/>
      <c r="BO56" s="111"/>
    </row>
    <row r="57" spans="1:198" ht="65.099999999999994" customHeight="1" thickBot="1" x14ac:dyDescent="0.75">
      <c r="A57" s="667"/>
      <c r="B57" s="669"/>
      <c r="C57" s="690"/>
      <c r="D57" s="710"/>
      <c r="E57" s="711" t="s">
        <v>59</v>
      </c>
      <c r="F57" s="712"/>
      <c r="G57" s="295" t="s">
        <v>49</v>
      </c>
      <c r="H57" s="296">
        <v>75</v>
      </c>
      <c r="I57" s="297"/>
      <c r="J57" s="298"/>
      <c r="K57" s="298"/>
      <c r="L57" s="299"/>
      <c r="M57" s="299"/>
      <c r="N57" s="299"/>
      <c r="O57" s="299"/>
      <c r="P57" s="299"/>
      <c r="Q57" s="299"/>
      <c r="R57" s="299"/>
      <c r="S57" s="299"/>
      <c r="T57" s="300"/>
      <c r="U57" s="301"/>
      <c r="V57" s="302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300"/>
      <c r="AH57" s="303"/>
      <c r="AI57" s="302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300"/>
      <c r="AU57" s="229">
        <v>75</v>
      </c>
      <c r="AV57" s="226"/>
      <c r="AW57" s="226"/>
      <c r="AX57" s="226"/>
      <c r="AY57" s="226"/>
      <c r="AZ57" s="226"/>
      <c r="BA57" s="304"/>
      <c r="BB57" s="226"/>
      <c r="BC57" s="226"/>
      <c r="BD57" s="226"/>
      <c r="BE57" s="226"/>
      <c r="BF57" s="226"/>
      <c r="BG57" s="227"/>
      <c r="BH57" s="231"/>
      <c r="BI57" s="238"/>
      <c r="BJ57" s="238"/>
      <c r="BK57" s="238"/>
      <c r="BL57" s="116"/>
      <c r="BM57" s="116"/>
      <c r="BN57" s="116"/>
      <c r="BO57" s="116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</row>
    <row r="58" spans="1:198" s="26" customFormat="1" ht="65.099999999999994" customHeight="1" thickBot="1" x14ac:dyDescent="0.75">
      <c r="A58" s="667"/>
      <c r="B58" s="670"/>
      <c r="C58" s="690"/>
      <c r="D58" s="704" t="s">
        <v>39</v>
      </c>
      <c r="E58" s="705"/>
      <c r="F58" s="706"/>
      <c r="G58" s="305" t="s">
        <v>18</v>
      </c>
      <c r="H58" s="130">
        <f>35589.66-542.4</f>
        <v>35047.26</v>
      </c>
      <c r="I58" s="685">
        <f>6283.47-0.006</f>
        <v>6283.4639999999999</v>
      </c>
      <c r="J58" s="686"/>
      <c r="K58" s="686"/>
      <c r="L58" s="686"/>
      <c r="M58" s="686"/>
      <c r="N58" s="686"/>
      <c r="O58" s="686"/>
      <c r="P58" s="686"/>
      <c r="Q58" s="686"/>
      <c r="R58" s="686"/>
      <c r="S58" s="686"/>
      <c r="T58" s="687"/>
      <c r="U58" s="132"/>
      <c r="V58" s="685">
        <v>18969.75</v>
      </c>
      <c r="W58" s="686"/>
      <c r="X58" s="686"/>
      <c r="Y58" s="686"/>
      <c r="Z58" s="686"/>
      <c r="AA58" s="686"/>
      <c r="AB58" s="686"/>
      <c r="AC58" s="686"/>
      <c r="AD58" s="686"/>
      <c r="AE58" s="686"/>
      <c r="AF58" s="686"/>
      <c r="AG58" s="687"/>
      <c r="AH58" s="132"/>
      <c r="AI58" s="685">
        <v>9794.0499999999993</v>
      </c>
      <c r="AJ58" s="686"/>
      <c r="AK58" s="686"/>
      <c r="AL58" s="686"/>
      <c r="AM58" s="686"/>
      <c r="AN58" s="686"/>
      <c r="AO58" s="686"/>
      <c r="AP58" s="686"/>
      <c r="AQ58" s="686"/>
      <c r="AR58" s="686"/>
      <c r="AS58" s="686"/>
      <c r="AT58" s="687"/>
      <c r="AU58" s="132"/>
      <c r="AV58" s="685">
        <v>0</v>
      </c>
      <c r="AW58" s="686"/>
      <c r="AX58" s="686"/>
      <c r="AY58" s="686"/>
      <c r="AZ58" s="686"/>
      <c r="BA58" s="686"/>
      <c r="BB58" s="686"/>
      <c r="BC58" s="686"/>
      <c r="BD58" s="686"/>
      <c r="BE58" s="686"/>
      <c r="BF58" s="686"/>
      <c r="BG58" s="687"/>
      <c r="BH58" s="132"/>
      <c r="BI58" s="238"/>
      <c r="BJ58" s="44">
        <f>H58-I58-V58-AI58-AV58</f>
        <v>-3.9999999971769284E-3</v>
      </c>
      <c r="BK58" s="238"/>
      <c r="BL58" s="116"/>
      <c r="BM58" s="116"/>
      <c r="BN58" s="116"/>
      <c r="BO58" s="116"/>
    </row>
    <row r="59" spans="1:198" ht="65.099999999999994" customHeight="1" thickBot="1" x14ac:dyDescent="0.75">
      <c r="A59" s="667"/>
      <c r="B59" s="669">
        <v>2</v>
      </c>
      <c r="C59" s="713" t="s">
        <v>61</v>
      </c>
      <c r="D59" s="714" t="s">
        <v>62</v>
      </c>
      <c r="E59" s="716" t="s">
        <v>63</v>
      </c>
      <c r="F59" s="717"/>
      <c r="G59" s="306" t="s">
        <v>22</v>
      </c>
      <c r="H59" s="307">
        <v>1.4</v>
      </c>
      <c r="I59" s="308"/>
      <c r="J59" s="309"/>
      <c r="K59" s="309"/>
      <c r="L59" s="310"/>
      <c r="M59" s="310"/>
      <c r="N59" s="310"/>
      <c r="O59" s="310"/>
      <c r="P59" s="310"/>
      <c r="Q59" s="310"/>
      <c r="R59" s="310"/>
      <c r="S59" s="310"/>
      <c r="T59" s="311"/>
      <c r="U59" s="186">
        <v>1.4</v>
      </c>
      <c r="V59" s="312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1"/>
      <c r="AH59" s="180"/>
      <c r="AI59" s="312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3"/>
      <c r="AU59" s="314"/>
      <c r="AV59" s="315"/>
      <c r="AW59" s="310"/>
      <c r="AX59" s="310"/>
      <c r="AY59" s="310"/>
      <c r="AZ59" s="310"/>
      <c r="BA59" s="310"/>
      <c r="BB59" s="310"/>
      <c r="BC59" s="310"/>
      <c r="BD59" s="310"/>
      <c r="BE59" s="310"/>
      <c r="BF59" s="310"/>
      <c r="BG59" s="311"/>
      <c r="BH59" s="316"/>
      <c r="BI59" s="280"/>
      <c r="BJ59" s="238"/>
      <c r="BK59" s="280"/>
      <c r="BL59" s="116"/>
      <c r="BM59" s="116"/>
      <c r="BN59" s="116"/>
      <c r="BO59" s="116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</row>
    <row r="60" spans="1:198" ht="65.099999999999994" customHeight="1" thickBot="1" x14ac:dyDescent="0.75">
      <c r="A60" s="667"/>
      <c r="B60" s="669"/>
      <c r="C60" s="713"/>
      <c r="D60" s="714"/>
      <c r="E60" s="698" t="s">
        <v>64</v>
      </c>
      <c r="F60" s="699"/>
      <c r="G60" s="232" t="s">
        <v>22</v>
      </c>
      <c r="H60" s="186">
        <v>27.5</v>
      </c>
      <c r="I60" s="317"/>
      <c r="J60" s="318"/>
      <c r="K60" s="318"/>
      <c r="L60" s="310"/>
      <c r="M60" s="310"/>
      <c r="N60" s="310"/>
      <c r="O60" s="310"/>
      <c r="P60" s="310"/>
      <c r="Q60" s="310"/>
      <c r="R60" s="310"/>
      <c r="S60" s="310"/>
      <c r="T60" s="311"/>
      <c r="U60" s="186">
        <v>4</v>
      </c>
      <c r="V60" s="312"/>
      <c r="W60" s="310"/>
      <c r="X60" s="310"/>
      <c r="Y60" s="310"/>
      <c r="Z60" s="310"/>
      <c r="AA60" s="310"/>
      <c r="AB60" s="310"/>
      <c r="AC60" s="310"/>
      <c r="AD60" s="253"/>
      <c r="AE60" s="253"/>
      <c r="AF60" s="253"/>
      <c r="AG60" s="319"/>
      <c r="AH60" s="186">
        <v>12.7</v>
      </c>
      <c r="AI60" s="320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13"/>
      <c r="AU60" s="186">
        <v>5.8</v>
      </c>
      <c r="AV60" s="322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4"/>
      <c r="BH60" s="186">
        <v>5</v>
      </c>
      <c r="BI60" s="325"/>
      <c r="BJ60" s="238"/>
      <c r="BK60" s="325"/>
      <c r="BL60" s="116"/>
      <c r="BM60" s="116"/>
      <c r="BN60" s="116"/>
      <c r="BO60" s="116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</row>
    <row r="61" spans="1:198" ht="65.099999999999994" customHeight="1" thickBot="1" x14ac:dyDescent="0.75">
      <c r="A61" s="667"/>
      <c r="B61" s="669"/>
      <c r="C61" s="713"/>
      <c r="D61" s="714"/>
      <c r="E61" s="698" t="s">
        <v>47</v>
      </c>
      <c r="F61" s="699"/>
      <c r="G61" s="232" t="s">
        <v>22</v>
      </c>
      <c r="H61" s="186">
        <v>14.3</v>
      </c>
      <c r="I61" s="317"/>
      <c r="J61" s="318"/>
      <c r="K61" s="318"/>
      <c r="L61" s="321"/>
      <c r="M61" s="321"/>
      <c r="N61" s="321"/>
      <c r="O61" s="321"/>
      <c r="P61" s="321"/>
      <c r="Q61" s="321"/>
      <c r="R61" s="321"/>
      <c r="S61" s="321"/>
      <c r="T61" s="321"/>
      <c r="U61" s="186">
        <v>2.1</v>
      </c>
      <c r="V61" s="326"/>
      <c r="W61" s="310"/>
      <c r="X61" s="310"/>
      <c r="Y61" s="310"/>
      <c r="Z61" s="310"/>
      <c r="AA61" s="321"/>
      <c r="AB61" s="321"/>
      <c r="AC61" s="321"/>
      <c r="AD61" s="321"/>
      <c r="AE61" s="321"/>
      <c r="AF61" s="321"/>
      <c r="AG61" s="319"/>
      <c r="AH61" s="186">
        <v>6</v>
      </c>
      <c r="AI61" s="320"/>
      <c r="AJ61" s="321"/>
      <c r="AK61" s="321"/>
      <c r="AL61" s="321"/>
      <c r="AM61" s="321"/>
      <c r="AN61" s="321"/>
      <c r="AO61" s="327"/>
      <c r="AP61" s="321"/>
      <c r="AQ61" s="321"/>
      <c r="AR61" s="310"/>
      <c r="AS61" s="310"/>
      <c r="AT61" s="313"/>
      <c r="AU61" s="186">
        <v>3.2</v>
      </c>
      <c r="AV61" s="322"/>
      <c r="AW61" s="323"/>
      <c r="AX61" s="323"/>
      <c r="AY61" s="323"/>
      <c r="AZ61" s="323"/>
      <c r="BA61" s="323"/>
      <c r="BB61" s="328"/>
      <c r="BC61" s="323"/>
      <c r="BD61" s="323"/>
      <c r="BE61" s="329"/>
      <c r="BF61" s="329"/>
      <c r="BG61" s="324"/>
      <c r="BH61" s="186">
        <v>3</v>
      </c>
      <c r="BI61" s="330"/>
      <c r="BJ61" s="238"/>
      <c r="BK61" s="330"/>
      <c r="BL61" s="116"/>
      <c r="BM61" s="116"/>
      <c r="BN61" s="116"/>
      <c r="BO61" s="116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</row>
    <row r="62" spans="1:198" ht="75" customHeight="1" thickBot="1" x14ac:dyDescent="0.75">
      <c r="A62" s="667"/>
      <c r="B62" s="669"/>
      <c r="C62" s="713"/>
      <c r="D62" s="714"/>
      <c r="E62" s="698" t="s">
        <v>65</v>
      </c>
      <c r="F62" s="699"/>
      <c r="G62" s="45" t="s">
        <v>54</v>
      </c>
      <c r="H62" s="331">
        <v>773.8</v>
      </c>
      <c r="I62" s="317"/>
      <c r="J62" s="318"/>
      <c r="K62" s="318"/>
      <c r="L62" s="332"/>
      <c r="M62" s="332"/>
      <c r="N62" s="332"/>
      <c r="O62" s="332"/>
      <c r="P62" s="332"/>
      <c r="Q62" s="332"/>
      <c r="R62" s="332"/>
      <c r="S62" s="332"/>
      <c r="T62" s="333"/>
      <c r="U62" s="292">
        <v>386.8</v>
      </c>
      <c r="V62" s="334"/>
      <c r="W62" s="335"/>
      <c r="X62" s="335"/>
      <c r="Y62" s="335"/>
      <c r="Z62" s="335"/>
      <c r="AA62" s="332"/>
      <c r="AB62" s="332"/>
      <c r="AC62" s="332"/>
      <c r="AD62" s="332"/>
      <c r="AE62" s="332"/>
      <c r="AF62" s="332"/>
      <c r="AG62" s="333"/>
      <c r="AH62" s="251">
        <v>300</v>
      </c>
      <c r="AI62" s="336"/>
      <c r="AJ62" s="332"/>
      <c r="AK62" s="332"/>
      <c r="AL62" s="332"/>
      <c r="AM62" s="332"/>
      <c r="AN62" s="332"/>
      <c r="AO62" s="337"/>
      <c r="AP62" s="332"/>
      <c r="AQ62" s="332"/>
      <c r="AR62" s="335"/>
      <c r="AS62" s="335"/>
      <c r="AT62" s="338"/>
      <c r="AU62" s="186">
        <v>0</v>
      </c>
      <c r="AV62" s="339"/>
      <c r="AW62" s="340"/>
      <c r="AX62" s="340"/>
      <c r="AY62" s="340"/>
      <c r="AZ62" s="340"/>
      <c r="BA62" s="340"/>
      <c r="BB62" s="341"/>
      <c r="BC62" s="340"/>
      <c r="BD62" s="340"/>
      <c r="BE62" s="342"/>
      <c r="BF62" s="342"/>
      <c r="BG62" s="343"/>
      <c r="BH62" s="251">
        <v>87</v>
      </c>
      <c r="BI62" s="330"/>
      <c r="BJ62" s="238"/>
      <c r="BK62" s="330"/>
      <c r="BL62" s="116"/>
      <c r="BM62" s="116"/>
      <c r="BN62" s="116"/>
      <c r="BO62" s="116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</row>
    <row r="63" spans="1:198" ht="65.099999999999994" customHeight="1" thickBot="1" x14ac:dyDescent="0.75">
      <c r="A63" s="667"/>
      <c r="B63" s="669"/>
      <c r="C63" s="713"/>
      <c r="D63" s="715"/>
      <c r="E63" s="700" t="s">
        <v>66</v>
      </c>
      <c r="F63" s="701"/>
      <c r="G63" s="295" t="s">
        <v>54</v>
      </c>
      <c r="H63" s="345">
        <v>1027</v>
      </c>
      <c r="I63" s="169"/>
      <c r="J63" s="164"/>
      <c r="K63" s="164"/>
      <c r="L63" s="346"/>
      <c r="M63" s="346"/>
      <c r="N63" s="346"/>
      <c r="O63" s="346"/>
      <c r="P63" s="346"/>
      <c r="Q63" s="346"/>
      <c r="R63" s="346"/>
      <c r="S63" s="346"/>
      <c r="T63" s="347"/>
      <c r="U63" s="348">
        <v>540</v>
      </c>
      <c r="V63" s="349"/>
      <c r="W63" s="346"/>
      <c r="X63" s="346"/>
      <c r="Y63" s="346"/>
      <c r="Z63" s="350"/>
      <c r="AA63" s="350"/>
      <c r="AB63" s="350"/>
      <c r="AC63" s="350"/>
      <c r="AD63" s="350"/>
      <c r="AE63" s="350"/>
      <c r="AF63" s="350"/>
      <c r="AG63" s="350"/>
      <c r="AH63" s="263">
        <v>400</v>
      </c>
      <c r="AI63" s="350"/>
      <c r="AJ63" s="350"/>
      <c r="AK63" s="350"/>
      <c r="AL63" s="350"/>
      <c r="AM63" s="350"/>
      <c r="AN63" s="350"/>
      <c r="AO63" s="351"/>
      <c r="AP63" s="351"/>
      <c r="AQ63" s="346"/>
      <c r="AR63" s="346"/>
      <c r="AS63" s="346"/>
      <c r="AT63" s="352"/>
      <c r="AU63" s="263">
        <v>0</v>
      </c>
      <c r="AV63" s="353"/>
      <c r="AW63" s="354"/>
      <c r="AX63" s="354"/>
      <c r="AY63" s="354"/>
      <c r="AZ63" s="354"/>
      <c r="BA63" s="354"/>
      <c r="BB63" s="355"/>
      <c r="BC63" s="355"/>
      <c r="BD63" s="356"/>
      <c r="BE63" s="356"/>
      <c r="BF63" s="356"/>
      <c r="BG63" s="357"/>
      <c r="BH63" s="263">
        <v>87</v>
      </c>
      <c r="BI63" s="330"/>
      <c r="BJ63" s="238"/>
      <c r="BK63" s="330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</row>
    <row r="64" spans="1:198" ht="97.5" customHeight="1" thickBot="1" x14ac:dyDescent="0.75">
      <c r="A64" s="667"/>
      <c r="B64" s="669"/>
      <c r="C64" s="713"/>
      <c r="D64" s="718" t="s">
        <v>67</v>
      </c>
      <c r="E64" s="698" t="s">
        <v>68</v>
      </c>
      <c r="F64" s="699"/>
      <c r="G64" s="232" t="s">
        <v>22</v>
      </c>
      <c r="H64" s="186">
        <v>0.68</v>
      </c>
      <c r="I64" s="358"/>
      <c r="J64" s="323"/>
      <c r="K64" s="323"/>
      <c r="L64" s="310"/>
      <c r="M64" s="310"/>
      <c r="N64" s="310"/>
      <c r="O64" s="310"/>
      <c r="P64" s="310"/>
      <c r="Q64" s="310"/>
      <c r="R64" s="310"/>
      <c r="S64" s="310"/>
      <c r="T64" s="313"/>
      <c r="U64" s="186">
        <v>0.68</v>
      </c>
      <c r="V64" s="359"/>
      <c r="W64" s="360"/>
      <c r="X64" s="360"/>
      <c r="Y64" s="360"/>
      <c r="Z64" s="361"/>
      <c r="AA64" s="361"/>
      <c r="AB64" s="361"/>
      <c r="AC64" s="361"/>
      <c r="AD64" s="361"/>
      <c r="AE64" s="361"/>
      <c r="AF64" s="361"/>
      <c r="AG64" s="362"/>
      <c r="AH64" s="363"/>
      <c r="AI64" s="364"/>
      <c r="AJ64" s="361"/>
      <c r="AK64" s="361"/>
      <c r="AL64" s="361"/>
      <c r="AM64" s="361"/>
      <c r="AN64" s="361"/>
      <c r="AO64" s="365"/>
      <c r="AP64" s="365"/>
      <c r="AQ64" s="360"/>
      <c r="AR64" s="360"/>
      <c r="AS64" s="360"/>
      <c r="AT64" s="366"/>
      <c r="AU64" s="271"/>
      <c r="AV64" s="367"/>
      <c r="AW64" s="368"/>
      <c r="AX64" s="368"/>
      <c r="AY64" s="368"/>
      <c r="AZ64" s="368"/>
      <c r="BA64" s="368"/>
      <c r="BB64" s="369"/>
      <c r="BC64" s="369"/>
      <c r="BD64" s="370"/>
      <c r="BE64" s="370"/>
      <c r="BF64" s="370"/>
      <c r="BG64" s="371"/>
      <c r="BH64" s="271"/>
      <c r="BJ64" s="238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</row>
    <row r="65" spans="1:198" ht="97.5" customHeight="1" thickBot="1" x14ac:dyDescent="0.75">
      <c r="A65" s="667"/>
      <c r="B65" s="669"/>
      <c r="C65" s="713"/>
      <c r="D65" s="714"/>
      <c r="E65" s="698" t="s">
        <v>69</v>
      </c>
      <c r="F65" s="699"/>
      <c r="G65" s="232" t="s">
        <v>22</v>
      </c>
      <c r="H65" s="186">
        <v>0.84</v>
      </c>
      <c r="I65" s="358"/>
      <c r="J65" s="323"/>
      <c r="K65" s="323"/>
      <c r="L65" s="321"/>
      <c r="M65" s="310"/>
      <c r="N65" s="310"/>
      <c r="O65" s="310"/>
      <c r="P65" s="310"/>
      <c r="Q65" s="310"/>
      <c r="R65" s="310"/>
      <c r="S65" s="310"/>
      <c r="T65" s="313"/>
      <c r="U65" s="186">
        <v>0.84</v>
      </c>
      <c r="V65" s="312"/>
      <c r="W65" s="310"/>
      <c r="X65" s="310"/>
      <c r="Y65" s="310"/>
      <c r="Z65" s="372"/>
      <c r="AA65" s="372"/>
      <c r="AB65" s="372"/>
      <c r="AC65" s="372"/>
      <c r="AD65" s="372"/>
      <c r="AE65" s="372"/>
      <c r="AF65" s="372"/>
      <c r="AG65" s="373"/>
      <c r="AH65" s="180"/>
      <c r="AI65" s="374"/>
      <c r="AJ65" s="372"/>
      <c r="AK65" s="372"/>
      <c r="AL65" s="372"/>
      <c r="AM65" s="372"/>
      <c r="AN65" s="372"/>
      <c r="AO65" s="375"/>
      <c r="AP65" s="375"/>
      <c r="AQ65" s="310"/>
      <c r="AR65" s="310"/>
      <c r="AS65" s="310"/>
      <c r="AT65" s="313"/>
      <c r="AU65" s="186"/>
      <c r="AV65" s="376"/>
      <c r="AW65" s="377"/>
      <c r="AX65" s="377"/>
      <c r="AY65" s="377"/>
      <c r="AZ65" s="377"/>
      <c r="BA65" s="377"/>
      <c r="BB65" s="323"/>
      <c r="BC65" s="323"/>
      <c r="BD65" s="329"/>
      <c r="BE65" s="329"/>
      <c r="BF65" s="329"/>
      <c r="BG65" s="378"/>
      <c r="BH65" s="186"/>
      <c r="BJ65" s="238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</row>
    <row r="66" spans="1:198" s="203" customFormat="1" ht="97.5" customHeight="1" thickBot="1" x14ac:dyDescent="0.75">
      <c r="A66" s="667"/>
      <c r="B66" s="669"/>
      <c r="C66" s="713"/>
      <c r="D66" s="715"/>
      <c r="E66" s="707" t="s">
        <v>70</v>
      </c>
      <c r="F66" s="708"/>
      <c r="G66" s="379" t="s">
        <v>49</v>
      </c>
      <c r="H66" s="380">
        <v>1800</v>
      </c>
      <c r="I66" s="381"/>
      <c r="J66" s="382"/>
      <c r="K66" s="382"/>
      <c r="L66" s="383"/>
      <c r="M66" s="383"/>
      <c r="N66" s="383"/>
      <c r="O66" s="384"/>
      <c r="P66" s="383"/>
      <c r="Q66" s="383"/>
      <c r="R66" s="383"/>
      <c r="S66" s="383"/>
      <c r="T66" s="385"/>
      <c r="U66" s="380">
        <v>1800</v>
      </c>
      <c r="V66" s="386"/>
      <c r="W66" s="387"/>
      <c r="X66" s="387"/>
      <c r="Y66" s="387"/>
      <c r="Z66" s="388"/>
      <c r="AA66" s="388"/>
      <c r="AB66" s="388"/>
      <c r="AC66" s="388"/>
      <c r="AD66" s="388"/>
      <c r="AE66" s="388"/>
      <c r="AF66" s="388"/>
      <c r="AG66" s="389"/>
      <c r="AH66" s="390"/>
      <c r="AI66" s="391"/>
      <c r="AJ66" s="388"/>
      <c r="AK66" s="388"/>
      <c r="AL66" s="388"/>
      <c r="AM66" s="388"/>
      <c r="AN66" s="388"/>
      <c r="AO66" s="392"/>
      <c r="AP66" s="392"/>
      <c r="AQ66" s="387"/>
      <c r="AR66" s="387"/>
      <c r="AS66" s="387"/>
      <c r="AT66" s="393"/>
      <c r="AU66" s="390"/>
      <c r="AV66" s="394"/>
      <c r="AW66" s="395"/>
      <c r="AX66" s="395"/>
      <c r="AY66" s="395"/>
      <c r="AZ66" s="395"/>
      <c r="BA66" s="395"/>
      <c r="BB66" s="396"/>
      <c r="BC66" s="396"/>
      <c r="BD66" s="397"/>
      <c r="BE66" s="397"/>
      <c r="BF66" s="397"/>
      <c r="BG66" s="398"/>
      <c r="BH66" s="390"/>
      <c r="BI66"/>
      <c r="BJ66" s="238"/>
      <c r="BK66"/>
      <c r="BL66" s="9"/>
      <c r="BM66" s="9"/>
      <c r="BN66" s="9"/>
      <c r="BO66" s="9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</row>
    <row r="67" spans="1:198" s="33" customFormat="1" ht="112.5" customHeight="1" thickBot="1" x14ac:dyDescent="0.75">
      <c r="A67" s="667"/>
      <c r="B67" s="669"/>
      <c r="C67" s="713"/>
      <c r="D67" s="721" t="s">
        <v>71</v>
      </c>
      <c r="E67" s="694" t="s">
        <v>72</v>
      </c>
      <c r="F67" s="695"/>
      <c r="G67" s="399" t="s">
        <v>52</v>
      </c>
      <c r="H67" s="400"/>
      <c r="I67" s="401"/>
      <c r="J67" s="402"/>
      <c r="K67" s="402"/>
      <c r="L67" s="403"/>
      <c r="M67" s="403"/>
      <c r="N67" s="403"/>
      <c r="O67" s="404"/>
      <c r="P67" s="403"/>
      <c r="Q67" s="403"/>
      <c r="R67" s="403"/>
      <c r="S67" s="403"/>
      <c r="T67" s="405"/>
      <c r="U67" s="400"/>
      <c r="V67" s="404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5"/>
      <c r="AH67" s="400"/>
      <c r="AI67" s="406"/>
      <c r="AJ67" s="403"/>
      <c r="AK67" s="403"/>
      <c r="AL67" s="403"/>
      <c r="AM67" s="407"/>
      <c r="AN67" s="407"/>
      <c r="AO67" s="407"/>
      <c r="AP67" s="407"/>
      <c r="AQ67" s="407"/>
      <c r="AR67" s="407"/>
      <c r="AS67" s="407"/>
      <c r="AT67" s="408"/>
      <c r="AU67" s="399"/>
      <c r="AV67" s="409"/>
      <c r="AW67" s="410"/>
      <c r="AX67" s="410"/>
      <c r="AY67" s="410"/>
      <c r="AZ67" s="410"/>
      <c r="BA67" s="410"/>
      <c r="BB67" s="402"/>
      <c r="BC67" s="402"/>
      <c r="BD67" s="411"/>
      <c r="BE67" s="411"/>
      <c r="BF67" s="411"/>
      <c r="BG67" s="412"/>
      <c r="BH67" s="400"/>
      <c r="BI67"/>
      <c r="BJ67" s="238"/>
      <c r="BK67"/>
      <c r="BL67" s="26"/>
      <c r="BM67" s="26"/>
      <c r="BN67" s="26"/>
      <c r="BO67" s="26"/>
    </row>
    <row r="68" spans="1:198" s="33" customFormat="1" ht="75" customHeight="1" thickBot="1" x14ac:dyDescent="0.75">
      <c r="A68" s="667"/>
      <c r="B68" s="669"/>
      <c r="C68" s="713"/>
      <c r="D68" s="722"/>
      <c r="E68" s="698" t="s">
        <v>65</v>
      </c>
      <c r="F68" s="724"/>
      <c r="G68" s="413" t="s">
        <v>73</v>
      </c>
      <c r="H68" s="292">
        <v>1875</v>
      </c>
      <c r="I68" s="414"/>
      <c r="J68" s="340"/>
      <c r="K68" s="340"/>
      <c r="L68" s="335"/>
      <c r="M68" s="335"/>
      <c r="N68" s="335"/>
      <c r="O68" s="335"/>
      <c r="P68" s="335"/>
      <c r="Q68" s="335"/>
      <c r="R68" s="335"/>
      <c r="S68" s="335"/>
      <c r="T68" s="338"/>
      <c r="U68" s="251">
        <f>600-190</f>
        <v>410</v>
      </c>
      <c r="V68" s="41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8"/>
      <c r="AH68" s="251">
        <f>600+190+100</f>
        <v>890</v>
      </c>
      <c r="AI68" s="415"/>
      <c r="AJ68" s="335"/>
      <c r="AK68" s="335"/>
      <c r="AL68" s="335"/>
      <c r="AM68" s="416"/>
      <c r="AN68" s="416"/>
      <c r="AO68" s="416"/>
      <c r="AP68" s="416"/>
      <c r="AQ68" s="416"/>
      <c r="AR68" s="416"/>
      <c r="AS68" s="417"/>
      <c r="AT68" s="418"/>
      <c r="AU68" s="251">
        <v>575</v>
      </c>
      <c r="AV68" s="419"/>
      <c r="AW68" s="420"/>
      <c r="AX68" s="420"/>
      <c r="AY68" s="420"/>
      <c r="AZ68" s="420"/>
      <c r="BA68" s="420"/>
      <c r="BB68" s="340"/>
      <c r="BC68" s="340"/>
      <c r="BD68" s="342"/>
      <c r="BE68" s="342"/>
      <c r="BF68" s="342"/>
      <c r="BG68" s="421"/>
      <c r="BH68" s="251"/>
      <c r="BI68"/>
      <c r="BJ68" s="238"/>
      <c r="BK68"/>
      <c r="BL68" s="9"/>
      <c r="BM68" s="9"/>
      <c r="BN68" s="9"/>
      <c r="BO68" s="9"/>
    </row>
    <row r="69" spans="1:198" s="33" customFormat="1" ht="65.099999999999994" customHeight="1" thickBot="1" x14ac:dyDescent="0.75">
      <c r="A69" s="667"/>
      <c r="B69" s="669"/>
      <c r="C69" s="713"/>
      <c r="D69" s="722"/>
      <c r="E69" s="725" t="s">
        <v>66</v>
      </c>
      <c r="F69" s="726"/>
      <c r="G69" s="413" t="s">
        <v>54</v>
      </c>
      <c r="H69" s="292">
        <v>1910</v>
      </c>
      <c r="I69" s="414"/>
      <c r="J69" s="340"/>
      <c r="K69" s="340"/>
      <c r="L69" s="416"/>
      <c r="M69" s="416"/>
      <c r="N69" s="416"/>
      <c r="O69" s="416"/>
      <c r="P69" s="416"/>
      <c r="Q69" s="416"/>
      <c r="R69" s="416"/>
      <c r="S69" s="416"/>
      <c r="T69" s="416"/>
      <c r="U69" s="251">
        <v>100</v>
      </c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  <c r="AF69" s="422"/>
      <c r="AG69" s="422"/>
      <c r="AH69" s="251">
        <v>930</v>
      </c>
      <c r="AI69" s="422"/>
      <c r="AJ69" s="416"/>
      <c r="AK69" s="416"/>
      <c r="AL69" s="416"/>
      <c r="AM69" s="416"/>
      <c r="AN69" s="423"/>
      <c r="AO69" s="423"/>
      <c r="AP69" s="423"/>
      <c r="AQ69" s="423"/>
      <c r="AR69" s="423"/>
      <c r="AS69" s="424"/>
      <c r="AT69" s="425"/>
      <c r="AU69" s="251">
        <v>750</v>
      </c>
      <c r="AV69" s="419"/>
      <c r="AW69" s="420"/>
      <c r="AX69" s="420"/>
      <c r="AY69" s="420"/>
      <c r="AZ69" s="420"/>
      <c r="BA69" s="342"/>
      <c r="BB69" s="342"/>
      <c r="BC69" s="342"/>
      <c r="BD69" s="342"/>
      <c r="BE69" s="342"/>
      <c r="BF69" s="342"/>
      <c r="BG69" s="421"/>
      <c r="BH69" s="251">
        <v>130</v>
      </c>
      <c r="BI69"/>
      <c r="BJ69" s="238"/>
      <c r="BK69"/>
      <c r="BL69" s="9"/>
      <c r="BM69" s="9"/>
      <c r="BN69" s="9"/>
      <c r="BO69" s="9"/>
    </row>
    <row r="70" spans="1:198" s="33" customFormat="1" ht="75" customHeight="1" thickBot="1" x14ac:dyDescent="0.75">
      <c r="A70" s="667"/>
      <c r="B70" s="669"/>
      <c r="C70" s="713"/>
      <c r="D70" s="722"/>
      <c r="E70" s="696" t="s">
        <v>74</v>
      </c>
      <c r="F70" s="697"/>
      <c r="G70" s="180" t="s">
        <v>22</v>
      </c>
      <c r="H70" s="251">
        <v>5.63</v>
      </c>
      <c r="I70" s="317"/>
      <c r="J70" s="318"/>
      <c r="K70" s="318"/>
      <c r="L70" s="321"/>
      <c r="M70" s="321"/>
      <c r="N70" s="321"/>
      <c r="O70" s="321"/>
      <c r="P70" s="321"/>
      <c r="Q70" s="321"/>
      <c r="R70" s="321"/>
      <c r="S70" s="321"/>
      <c r="T70" s="319"/>
      <c r="U70" s="186">
        <v>0.98499999999999999</v>
      </c>
      <c r="V70" s="320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186">
        <v>2.2999999999999998</v>
      </c>
      <c r="AI70" s="320"/>
      <c r="AJ70" s="32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1"/>
      <c r="AU70" s="186">
        <v>2</v>
      </c>
      <c r="AV70" s="322"/>
      <c r="AW70" s="323"/>
      <c r="AX70" s="323"/>
      <c r="AY70" s="323"/>
      <c r="AZ70" s="323"/>
      <c r="BA70" s="426"/>
      <c r="BB70" s="329"/>
      <c r="BC70" s="329"/>
      <c r="BD70" s="329"/>
      <c r="BE70" s="329"/>
      <c r="BF70" s="329"/>
      <c r="BG70" s="378"/>
      <c r="BH70" s="186">
        <v>0.34499999999999997</v>
      </c>
      <c r="BI70"/>
      <c r="BJ70" s="238"/>
      <c r="BK70"/>
    </row>
    <row r="71" spans="1:198" s="33" customFormat="1" ht="112.5" customHeight="1" thickBot="1" x14ac:dyDescent="0.75">
      <c r="A71" s="667"/>
      <c r="B71" s="669"/>
      <c r="C71" s="713"/>
      <c r="D71" s="723"/>
      <c r="E71" s="727" t="s">
        <v>75</v>
      </c>
      <c r="F71" s="728"/>
      <c r="G71" s="180" t="s">
        <v>18</v>
      </c>
      <c r="H71" s="251">
        <v>455.32</v>
      </c>
      <c r="I71" s="414"/>
      <c r="J71" s="340"/>
      <c r="K71" s="340"/>
      <c r="L71" s="335"/>
      <c r="M71" s="335"/>
      <c r="N71" s="335"/>
      <c r="O71" s="335"/>
      <c r="P71" s="335"/>
      <c r="Q71" s="335"/>
      <c r="R71" s="335"/>
      <c r="S71" s="335"/>
      <c r="T71" s="338"/>
      <c r="U71" s="251">
        <f>H71</f>
        <v>455.32</v>
      </c>
      <c r="V71" s="41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8"/>
      <c r="AH71" s="251"/>
      <c r="AI71" s="41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8"/>
      <c r="AU71" s="413"/>
      <c r="AV71" s="376"/>
      <c r="AW71" s="377"/>
      <c r="AX71" s="377"/>
      <c r="AY71" s="377"/>
      <c r="AZ71" s="377"/>
      <c r="BA71" s="377"/>
      <c r="BB71" s="323"/>
      <c r="BC71" s="323"/>
      <c r="BD71" s="329"/>
      <c r="BE71" s="329"/>
      <c r="BF71" s="329"/>
      <c r="BG71" s="378"/>
      <c r="BH71" s="186"/>
      <c r="BI71"/>
      <c r="BJ71" s="238"/>
      <c r="BK71"/>
    </row>
    <row r="72" spans="1:198" ht="65.099999999999994" customHeight="1" thickBot="1" x14ac:dyDescent="0.75">
      <c r="A72" s="667"/>
      <c r="B72" s="669"/>
      <c r="C72" s="713"/>
      <c r="D72" s="718" t="s">
        <v>76</v>
      </c>
      <c r="E72" s="719" t="s">
        <v>77</v>
      </c>
      <c r="F72" s="720"/>
      <c r="G72" s="428" t="s">
        <v>22</v>
      </c>
      <c r="H72" s="429">
        <v>5.52</v>
      </c>
      <c r="I72" s="430"/>
      <c r="J72" s="431"/>
      <c r="K72" s="431"/>
      <c r="L72" s="432"/>
      <c r="M72" s="432"/>
      <c r="N72" s="432"/>
      <c r="O72" s="432"/>
      <c r="P72" s="432"/>
      <c r="Q72" s="432"/>
      <c r="R72" s="432"/>
      <c r="S72" s="432"/>
      <c r="T72" s="433"/>
      <c r="U72" s="429">
        <v>5.52</v>
      </c>
      <c r="V72" s="434"/>
      <c r="W72" s="435"/>
      <c r="X72" s="435"/>
      <c r="Y72" s="435"/>
      <c r="Z72" s="435"/>
      <c r="AA72" s="435"/>
      <c r="AB72" s="435"/>
      <c r="AC72" s="435"/>
      <c r="AD72" s="435"/>
      <c r="AE72" s="435"/>
      <c r="AF72" s="435"/>
      <c r="AG72" s="436"/>
      <c r="AH72" s="429"/>
      <c r="AI72" s="434"/>
      <c r="AJ72" s="435"/>
      <c r="AK72" s="435"/>
      <c r="AL72" s="435"/>
      <c r="AM72" s="435"/>
      <c r="AN72" s="435"/>
      <c r="AO72" s="435"/>
      <c r="AP72" s="435"/>
      <c r="AQ72" s="435"/>
      <c r="AR72" s="435"/>
      <c r="AS72" s="435"/>
      <c r="AT72" s="436"/>
      <c r="AU72" s="134"/>
      <c r="AV72" s="437"/>
      <c r="AW72" s="438"/>
      <c r="AX72" s="438"/>
      <c r="AY72" s="438"/>
      <c r="AZ72" s="438"/>
      <c r="BA72" s="438"/>
      <c r="BB72" s="438"/>
      <c r="BC72" s="438"/>
      <c r="BD72" s="438"/>
      <c r="BE72" s="438"/>
      <c r="BF72" s="438"/>
      <c r="BG72" s="439"/>
      <c r="BH72" s="134"/>
      <c r="BJ72" s="238"/>
      <c r="BL72" s="222"/>
      <c r="BM72" s="222"/>
      <c r="BN72" s="222"/>
      <c r="BO72" s="222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</row>
    <row r="73" spans="1:198" ht="65.099999999999994" customHeight="1" thickBot="1" x14ac:dyDescent="0.75">
      <c r="A73" s="667"/>
      <c r="B73" s="669"/>
      <c r="C73" s="713"/>
      <c r="D73" s="714"/>
      <c r="E73" s="698" t="s">
        <v>78</v>
      </c>
      <c r="F73" s="699"/>
      <c r="G73" s="440" t="s">
        <v>22</v>
      </c>
      <c r="H73" s="271">
        <v>37.32</v>
      </c>
      <c r="I73" s="616"/>
      <c r="J73" s="617"/>
      <c r="K73" s="617"/>
      <c r="L73" s="441"/>
      <c r="M73" s="441"/>
      <c r="N73" s="441"/>
      <c r="O73" s="441"/>
      <c r="P73" s="441"/>
      <c r="Q73" s="441"/>
      <c r="R73" s="441"/>
      <c r="S73" s="441"/>
      <c r="T73" s="442"/>
      <c r="U73" s="271">
        <v>9.85</v>
      </c>
      <c r="V73" s="443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5"/>
      <c r="AH73" s="363">
        <v>11.65</v>
      </c>
      <c r="AI73" s="443"/>
      <c r="AJ73" s="444"/>
      <c r="AK73" s="444"/>
      <c r="AL73" s="444"/>
      <c r="AM73" s="444"/>
      <c r="AN73" s="444"/>
      <c r="AO73" s="444"/>
      <c r="AP73" s="444"/>
      <c r="AQ73" s="444"/>
      <c r="AR73" s="444"/>
      <c r="AS73" s="444"/>
      <c r="AT73" s="446"/>
      <c r="AU73" s="363">
        <v>13.58</v>
      </c>
      <c r="AV73" s="447"/>
      <c r="AW73" s="370"/>
      <c r="AX73" s="370"/>
      <c r="AY73" s="370"/>
      <c r="AZ73" s="370"/>
      <c r="BA73" s="370"/>
      <c r="BB73" s="370"/>
      <c r="BC73" s="370"/>
      <c r="BD73" s="370"/>
      <c r="BE73" s="370"/>
      <c r="BF73" s="370"/>
      <c r="BG73" s="371"/>
      <c r="BH73" s="363">
        <v>2.2400000000000002</v>
      </c>
      <c r="BJ73" s="238"/>
      <c r="BL73" s="222"/>
      <c r="BM73" s="222"/>
      <c r="BN73" s="222"/>
      <c r="BO73" s="222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</row>
    <row r="74" spans="1:198" ht="75" customHeight="1" thickBot="1" x14ac:dyDescent="0.75">
      <c r="A74" s="667"/>
      <c r="B74" s="669"/>
      <c r="C74" s="713"/>
      <c r="D74" s="714"/>
      <c r="E74" s="698" t="s">
        <v>79</v>
      </c>
      <c r="F74" s="699"/>
      <c r="G74" s="440" t="s">
        <v>22</v>
      </c>
      <c r="H74" s="271">
        <v>5.3</v>
      </c>
      <c r="I74" s="448"/>
      <c r="J74" s="369"/>
      <c r="K74" s="369"/>
      <c r="L74" s="441"/>
      <c r="M74" s="441"/>
      <c r="N74" s="441"/>
      <c r="O74" s="441"/>
      <c r="P74" s="441"/>
      <c r="Q74" s="441"/>
      <c r="R74" s="441"/>
      <c r="S74" s="441"/>
      <c r="T74" s="442"/>
      <c r="U74" s="271">
        <v>2.8</v>
      </c>
      <c r="V74" s="443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5"/>
      <c r="AH74" s="363">
        <v>2.5</v>
      </c>
      <c r="AI74" s="443"/>
      <c r="AJ74" s="444"/>
      <c r="AK74" s="444"/>
      <c r="AL74" s="444"/>
      <c r="AM74" s="444"/>
      <c r="AN74" s="444"/>
      <c r="AO74" s="444"/>
      <c r="AP74" s="444"/>
      <c r="AQ74" s="444"/>
      <c r="AR74" s="444"/>
      <c r="AS74" s="444"/>
      <c r="AT74" s="446"/>
      <c r="AU74" s="363"/>
      <c r="AV74" s="447"/>
      <c r="AW74" s="370"/>
      <c r="AX74" s="370"/>
      <c r="AY74" s="370"/>
      <c r="AZ74" s="370"/>
      <c r="BA74" s="370"/>
      <c r="BB74" s="370"/>
      <c r="BC74" s="370"/>
      <c r="BD74" s="370"/>
      <c r="BE74" s="370"/>
      <c r="BF74" s="370"/>
      <c r="BG74" s="371"/>
      <c r="BH74" s="363"/>
      <c r="BJ74" s="238"/>
      <c r="BL74" s="238"/>
      <c r="BM74" s="238"/>
      <c r="BN74" s="238"/>
      <c r="BO74" s="238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</row>
    <row r="75" spans="1:198" ht="65.099999999999994" customHeight="1" thickBot="1" x14ac:dyDescent="0.75">
      <c r="A75" s="667"/>
      <c r="B75" s="669"/>
      <c r="C75" s="713"/>
      <c r="D75" s="714"/>
      <c r="E75" s="698" t="s">
        <v>66</v>
      </c>
      <c r="F75" s="699"/>
      <c r="G75" s="45" t="s">
        <v>73</v>
      </c>
      <c r="H75" s="180">
        <v>4442</v>
      </c>
      <c r="I75" s="225"/>
      <c r="J75" s="226"/>
      <c r="K75" s="226"/>
      <c r="L75" s="310"/>
      <c r="M75" s="372"/>
      <c r="N75" s="372"/>
      <c r="O75" s="372"/>
      <c r="P75" s="372"/>
      <c r="Q75" s="372"/>
      <c r="R75" s="372"/>
      <c r="S75" s="372"/>
      <c r="T75" s="372"/>
      <c r="U75" s="199">
        <v>90</v>
      </c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199">
        <v>1530</v>
      </c>
      <c r="AI75" s="372"/>
      <c r="AJ75" s="372"/>
      <c r="AK75" s="372"/>
      <c r="AL75" s="372"/>
      <c r="AM75" s="372"/>
      <c r="AN75" s="372"/>
      <c r="AO75" s="372"/>
      <c r="AP75" s="372"/>
      <c r="AQ75" s="372"/>
      <c r="AR75" s="427"/>
      <c r="AS75" s="427"/>
      <c r="AT75" s="449"/>
      <c r="AU75" s="199">
        <v>2700</v>
      </c>
      <c r="AV75" s="376"/>
      <c r="AW75" s="377"/>
      <c r="AX75" s="377"/>
      <c r="AY75" s="377"/>
      <c r="AZ75" s="377"/>
      <c r="BA75" s="377"/>
      <c r="BB75" s="377"/>
      <c r="BC75" s="377"/>
      <c r="BD75" s="377"/>
      <c r="BE75" s="329"/>
      <c r="BF75" s="329"/>
      <c r="BG75" s="378"/>
      <c r="BH75" s="199">
        <v>122</v>
      </c>
      <c r="BJ75" s="238"/>
      <c r="BL75" s="238"/>
      <c r="BM75" s="238"/>
      <c r="BN75" s="238"/>
      <c r="BO75" s="238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</row>
    <row r="76" spans="1:198" s="451" customFormat="1" ht="69.95" customHeight="1" thickBot="1" x14ac:dyDescent="0.75">
      <c r="A76" s="667"/>
      <c r="B76" s="669"/>
      <c r="C76" s="713"/>
      <c r="D76" s="704" t="s">
        <v>39</v>
      </c>
      <c r="E76" s="705"/>
      <c r="F76" s="706"/>
      <c r="G76" s="450" t="s">
        <v>18</v>
      </c>
      <c r="H76" s="130">
        <f>33851.68+455.32</f>
        <v>34307</v>
      </c>
      <c r="I76" s="685">
        <f>6590-623.32+455.32-500.33</f>
        <v>5921.67</v>
      </c>
      <c r="J76" s="686"/>
      <c r="K76" s="686"/>
      <c r="L76" s="686"/>
      <c r="M76" s="686"/>
      <c r="N76" s="686"/>
      <c r="O76" s="686"/>
      <c r="P76" s="686"/>
      <c r="Q76" s="686"/>
      <c r="R76" s="686"/>
      <c r="S76" s="686"/>
      <c r="T76" s="687"/>
      <c r="U76" s="132"/>
      <c r="V76" s="685">
        <f>11782+500.33</f>
        <v>12282.33</v>
      </c>
      <c r="W76" s="686"/>
      <c r="X76" s="686"/>
      <c r="Y76" s="686"/>
      <c r="Z76" s="686"/>
      <c r="AA76" s="686"/>
      <c r="AB76" s="686"/>
      <c r="AC76" s="686"/>
      <c r="AD76" s="686"/>
      <c r="AE76" s="686"/>
      <c r="AF76" s="686"/>
      <c r="AG76" s="687"/>
      <c r="AH76" s="132"/>
      <c r="AI76" s="685">
        <v>13911</v>
      </c>
      <c r="AJ76" s="686"/>
      <c r="AK76" s="686"/>
      <c r="AL76" s="686"/>
      <c r="AM76" s="686"/>
      <c r="AN76" s="686"/>
      <c r="AO76" s="686"/>
      <c r="AP76" s="686"/>
      <c r="AQ76" s="686"/>
      <c r="AR76" s="686"/>
      <c r="AS76" s="686"/>
      <c r="AT76" s="687"/>
      <c r="AU76" s="132"/>
      <c r="AV76" s="685">
        <v>2192</v>
      </c>
      <c r="AW76" s="686"/>
      <c r="AX76" s="686"/>
      <c r="AY76" s="686"/>
      <c r="AZ76" s="686"/>
      <c r="BA76" s="686"/>
      <c r="BB76" s="686"/>
      <c r="BC76" s="686"/>
      <c r="BD76" s="686"/>
      <c r="BE76" s="686"/>
      <c r="BF76" s="686"/>
      <c r="BG76" s="687"/>
      <c r="BH76" s="132"/>
      <c r="BI76"/>
      <c r="BJ76" s="238"/>
      <c r="BK76"/>
      <c r="BL76" s="238"/>
      <c r="BM76" s="238"/>
      <c r="BN76" s="238"/>
      <c r="BO76" s="238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</row>
    <row r="77" spans="1:198" s="451" customFormat="1" ht="47.25" thickBot="1" x14ac:dyDescent="0.75">
      <c r="A77" s="667"/>
      <c r="B77" s="669"/>
      <c r="C77" s="713"/>
      <c r="D77" s="704" t="s">
        <v>80</v>
      </c>
      <c r="E77" s="705"/>
      <c r="F77" s="706"/>
      <c r="G77" s="450" t="s">
        <v>18</v>
      </c>
      <c r="H77" s="452">
        <f>H71</f>
        <v>455.32</v>
      </c>
      <c r="I77" s="685">
        <f>H77</f>
        <v>455.32</v>
      </c>
      <c r="J77" s="686"/>
      <c r="K77" s="686"/>
      <c r="L77" s="686"/>
      <c r="M77" s="686"/>
      <c r="N77" s="686"/>
      <c r="O77" s="686"/>
      <c r="P77" s="686"/>
      <c r="Q77" s="686"/>
      <c r="R77" s="686"/>
      <c r="S77" s="686"/>
      <c r="T77" s="687"/>
      <c r="U77" s="453"/>
      <c r="V77" s="685"/>
      <c r="W77" s="686"/>
      <c r="X77" s="686"/>
      <c r="Y77" s="686"/>
      <c r="Z77" s="686"/>
      <c r="AA77" s="686"/>
      <c r="AB77" s="686"/>
      <c r="AC77" s="686"/>
      <c r="AD77" s="686"/>
      <c r="AE77" s="686"/>
      <c r="AF77" s="686"/>
      <c r="AG77" s="687"/>
      <c r="AH77" s="453"/>
      <c r="AI77" s="685"/>
      <c r="AJ77" s="686"/>
      <c r="AK77" s="686"/>
      <c r="AL77" s="686"/>
      <c r="AM77" s="686"/>
      <c r="AN77" s="686"/>
      <c r="AO77" s="686"/>
      <c r="AP77" s="686"/>
      <c r="AQ77" s="686"/>
      <c r="AR77" s="686"/>
      <c r="AS77" s="686"/>
      <c r="AT77" s="687"/>
      <c r="AU77" s="453"/>
      <c r="AV77" s="685"/>
      <c r="AW77" s="686"/>
      <c r="AX77" s="686"/>
      <c r="AY77" s="686"/>
      <c r="AZ77" s="686"/>
      <c r="BA77" s="686"/>
      <c r="BB77" s="686"/>
      <c r="BC77" s="686"/>
      <c r="BD77" s="686"/>
      <c r="BE77" s="686"/>
      <c r="BF77" s="686"/>
      <c r="BG77" s="687"/>
      <c r="BH77" s="453"/>
      <c r="BI77"/>
      <c r="BJ77" s="238"/>
      <c r="BK77"/>
      <c r="BL77" s="238"/>
      <c r="BM77" s="238"/>
      <c r="BN77" s="238"/>
      <c r="BO77" s="238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</row>
    <row r="78" spans="1:198" s="451" customFormat="1" ht="117.75" customHeight="1" x14ac:dyDescent="0.7">
      <c r="A78" s="667"/>
      <c r="B78" s="669"/>
      <c r="C78" s="729" t="s">
        <v>81</v>
      </c>
      <c r="D78" s="730"/>
      <c r="E78" s="735" t="s">
        <v>82</v>
      </c>
      <c r="F78" s="736"/>
      <c r="G78" s="454" t="s">
        <v>40</v>
      </c>
      <c r="H78" s="455">
        <v>70.209999999999994</v>
      </c>
      <c r="I78" s="456"/>
      <c r="J78" s="457"/>
      <c r="K78" s="457"/>
      <c r="L78" s="457"/>
      <c r="M78" s="457"/>
      <c r="N78" s="457"/>
      <c r="O78" s="457"/>
      <c r="P78" s="457"/>
      <c r="Q78" s="457"/>
      <c r="R78" s="457"/>
      <c r="S78" s="458"/>
      <c r="T78" s="459"/>
      <c r="U78" s="460"/>
      <c r="V78" s="461"/>
      <c r="W78" s="457"/>
      <c r="X78" s="457"/>
      <c r="Y78" s="457"/>
      <c r="Z78" s="457"/>
      <c r="AA78" s="457"/>
      <c r="AB78" s="457"/>
      <c r="AC78" s="457"/>
      <c r="AD78" s="457"/>
      <c r="AE78" s="457"/>
      <c r="AF78" s="457"/>
      <c r="AG78" s="462"/>
      <c r="AH78" s="463"/>
      <c r="AI78" s="464"/>
      <c r="AJ78" s="457"/>
      <c r="AK78" s="457"/>
      <c r="AL78" s="457"/>
      <c r="AM78" s="457"/>
      <c r="AN78" s="457"/>
      <c r="AO78" s="457"/>
      <c r="AP78" s="457"/>
      <c r="AQ78" s="457"/>
      <c r="AR78" s="457"/>
      <c r="AS78" s="457"/>
      <c r="AT78" s="465"/>
      <c r="AU78" s="466"/>
      <c r="AV78" s="464"/>
      <c r="AW78" s="457"/>
      <c r="AX78" s="457"/>
      <c r="AY78" s="457"/>
      <c r="AZ78" s="457"/>
      <c r="BA78" s="457"/>
      <c r="BB78" s="457"/>
      <c r="BC78" s="457"/>
      <c r="BD78" s="457"/>
      <c r="BE78" s="457"/>
      <c r="BF78" s="457"/>
      <c r="BG78" s="462"/>
      <c r="BH78" s="467"/>
      <c r="BI78"/>
      <c r="BJ78" s="238"/>
      <c r="BK78"/>
      <c r="BL78" s="238"/>
      <c r="BM78" s="238"/>
      <c r="BN78" s="238"/>
      <c r="BO78" s="238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</row>
    <row r="79" spans="1:198" ht="65.099999999999994" customHeight="1" x14ac:dyDescent="0.7">
      <c r="A79" s="667"/>
      <c r="B79" s="669"/>
      <c r="C79" s="731"/>
      <c r="D79" s="732"/>
      <c r="E79" s="698" t="s">
        <v>83</v>
      </c>
      <c r="F79" s="699"/>
      <c r="G79" s="306" t="s">
        <v>22</v>
      </c>
      <c r="H79" s="162">
        <f>61.5+12.3</f>
        <v>73.8</v>
      </c>
      <c r="I79" s="152"/>
      <c r="J79" s="153"/>
      <c r="K79" s="153"/>
      <c r="L79" s="153"/>
      <c r="M79" s="153"/>
      <c r="N79" s="153"/>
      <c r="O79" s="153"/>
      <c r="P79" s="153"/>
      <c r="Q79" s="468"/>
      <c r="R79" s="156"/>
      <c r="S79" s="156"/>
      <c r="T79" s="166"/>
      <c r="U79" s="163">
        <f>0.165+20</f>
        <v>20.164999999999999</v>
      </c>
      <c r="V79" s="469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7"/>
      <c r="AH79" s="440">
        <v>53.63</v>
      </c>
      <c r="AI79" s="469"/>
      <c r="AJ79" s="156"/>
      <c r="AK79" s="156"/>
      <c r="AL79" s="468"/>
      <c r="AM79" s="468"/>
      <c r="AN79" s="468"/>
      <c r="AO79" s="468"/>
      <c r="AP79" s="468"/>
      <c r="AQ79" s="468"/>
      <c r="AR79" s="156"/>
      <c r="AS79" s="156"/>
      <c r="AT79" s="157"/>
      <c r="AU79" s="470"/>
      <c r="AV79" s="156"/>
      <c r="AW79" s="156"/>
      <c r="AX79" s="156"/>
      <c r="AY79" s="156"/>
      <c r="AZ79" s="156"/>
      <c r="BA79" s="156"/>
      <c r="BB79" s="471"/>
      <c r="BC79" s="156"/>
      <c r="BD79" s="156"/>
      <c r="BE79" s="156"/>
      <c r="BF79" s="156"/>
      <c r="BG79" s="472"/>
      <c r="BH79" s="473"/>
      <c r="BL79" s="238"/>
      <c r="BM79" s="238"/>
      <c r="BN79" s="238"/>
      <c r="BO79" s="238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</row>
    <row r="80" spans="1:198" ht="65.099999999999994" customHeight="1" x14ac:dyDescent="0.7">
      <c r="A80" s="667"/>
      <c r="B80" s="669"/>
      <c r="C80" s="731"/>
      <c r="D80" s="732"/>
      <c r="E80" s="698" t="s">
        <v>84</v>
      </c>
      <c r="F80" s="699"/>
      <c r="G80" s="232" t="s">
        <v>22</v>
      </c>
      <c r="H80" s="163">
        <f>21.5+2.2</f>
        <v>23.7</v>
      </c>
      <c r="I80" s="169"/>
      <c r="J80" s="178"/>
      <c r="K80" s="176"/>
      <c r="L80" s="176"/>
      <c r="M80" s="176"/>
      <c r="N80" s="176"/>
      <c r="O80" s="178"/>
      <c r="P80" s="176"/>
      <c r="Q80" s="178"/>
      <c r="R80" s="164"/>
      <c r="S80" s="164"/>
      <c r="T80" s="166"/>
      <c r="U80" s="163">
        <f>2.505</f>
        <v>2.5049999999999999</v>
      </c>
      <c r="V80" s="169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6"/>
      <c r="AH80" s="45">
        <v>21.19</v>
      </c>
      <c r="AI80" s="169"/>
      <c r="AJ80" s="164"/>
      <c r="AK80" s="164"/>
      <c r="AL80" s="176"/>
      <c r="AM80" s="176"/>
      <c r="AN80" s="176"/>
      <c r="AO80" s="178"/>
      <c r="AP80" s="176"/>
      <c r="AQ80" s="178"/>
      <c r="AR80" s="164"/>
      <c r="AS80" s="164"/>
      <c r="AT80" s="166"/>
      <c r="AU80" s="167"/>
      <c r="AV80" s="164"/>
      <c r="AW80" s="164"/>
      <c r="AX80" s="164"/>
      <c r="AY80" s="164"/>
      <c r="AZ80" s="164"/>
      <c r="BA80" s="164"/>
      <c r="BB80" s="165"/>
      <c r="BC80" s="164"/>
      <c r="BD80" s="164"/>
      <c r="BE80" s="164"/>
      <c r="BF80" s="164"/>
      <c r="BG80" s="234"/>
      <c r="BH80" s="474"/>
      <c r="BL80" s="280"/>
      <c r="BM80" s="280"/>
      <c r="BN80" s="280"/>
      <c r="BO80" s="280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</row>
    <row r="81" spans="1:193" s="33" customFormat="1" ht="65.099999999999994" customHeight="1" x14ac:dyDescent="0.7">
      <c r="A81" s="667"/>
      <c r="B81" s="669"/>
      <c r="C81" s="731"/>
      <c r="D81" s="732"/>
      <c r="E81" s="696" t="s">
        <v>47</v>
      </c>
      <c r="F81" s="697"/>
      <c r="G81" s="475" t="s">
        <v>22</v>
      </c>
      <c r="H81" s="251">
        <f>U81+AH81+AU81</f>
        <v>37.5</v>
      </c>
      <c r="I81" s="248"/>
      <c r="J81" s="249"/>
      <c r="K81" s="249"/>
      <c r="L81" s="476"/>
      <c r="M81" s="476"/>
      <c r="N81" s="476"/>
      <c r="O81" s="183"/>
      <c r="P81" s="477"/>
      <c r="Q81" s="476"/>
      <c r="R81" s="476"/>
      <c r="S81" s="476"/>
      <c r="T81" s="476"/>
      <c r="U81" s="186">
        <v>0.91700000000000004</v>
      </c>
      <c r="V81" s="476"/>
      <c r="W81" s="476"/>
      <c r="X81" s="476"/>
      <c r="Y81" s="476"/>
      <c r="Z81" s="476"/>
      <c r="AA81" s="476"/>
      <c r="AB81" s="476"/>
      <c r="AC81" s="476"/>
      <c r="AD81" s="476"/>
      <c r="AE81" s="476"/>
      <c r="AF81" s="476"/>
      <c r="AG81" s="476"/>
      <c r="AH81" s="186">
        <v>20</v>
      </c>
      <c r="AI81" s="478"/>
      <c r="AJ81" s="476"/>
      <c r="AK81" s="476"/>
      <c r="AL81" s="476"/>
      <c r="AM81" s="476"/>
      <c r="AN81" s="476"/>
      <c r="AO81" s="476"/>
      <c r="AP81" s="249"/>
      <c r="AQ81" s="479"/>
      <c r="AR81" s="479"/>
      <c r="AS81" s="479"/>
      <c r="AT81" s="480"/>
      <c r="AU81" s="481">
        <v>16.582999999999998</v>
      </c>
      <c r="AV81" s="482"/>
      <c r="AW81" s="479"/>
      <c r="AX81" s="479"/>
      <c r="AY81" s="479"/>
      <c r="AZ81" s="479"/>
      <c r="BA81" s="479"/>
      <c r="BB81" s="479"/>
      <c r="BC81" s="479"/>
      <c r="BD81" s="483"/>
      <c r="BE81" s="249"/>
      <c r="BF81" s="249"/>
      <c r="BG81" s="250"/>
      <c r="BH81" s="344"/>
      <c r="BI81" s="280"/>
      <c r="BJ81" s="280"/>
    </row>
    <row r="82" spans="1:193" s="33" customFormat="1" ht="75" customHeight="1" x14ac:dyDescent="0.7">
      <c r="A82" s="667"/>
      <c r="B82" s="669"/>
      <c r="C82" s="731"/>
      <c r="D82" s="732"/>
      <c r="E82" s="737" t="s">
        <v>85</v>
      </c>
      <c r="F82" s="484" t="s">
        <v>57</v>
      </c>
      <c r="G82" s="267" t="s">
        <v>22</v>
      </c>
      <c r="H82" s="180">
        <v>3.05</v>
      </c>
      <c r="I82" s="201"/>
      <c r="J82" s="190"/>
      <c r="K82" s="485"/>
      <c r="L82" s="190"/>
      <c r="M82" s="190"/>
      <c r="N82" s="190"/>
      <c r="O82" s="190"/>
      <c r="P82" s="190"/>
      <c r="Q82" s="190"/>
      <c r="R82" s="190"/>
      <c r="S82" s="190"/>
      <c r="T82" s="247"/>
      <c r="U82" s="186"/>
      <c r="V82" s="201"/>
      <c r="W82" s="187"/>
      <c r="X82" s="486"/>
      <c r="Y82" s="486"/>
      <c r="Z82" s="486"/>
      <c r="AA82" s="486"/>
      <c r="AB82" s="190"/>
      <c r="AC82" s="190"/>
      <c r="AD82" s="190"/>
      <c r="AE82" s="190"/>
      <c r="AF82" s="190"/>
      <c r="AG82" s="247"/>
      <c r="AH82" s="186">
        <v>3.05</v>
      </c>
      <c r="AI82" s="201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247"/>
      <c r="AU82" s="487"/>
      <c r="AV82" s="190"/>
      <c r="AW82" s="187"/>
      <c r="AX82" s="486"/>
      <c r="AY82" s="486"/>
      <c r="AZ82" s="486"/>
      <c r="BA82" s="486"/>
      <c r="BB82" s="190"/>
      <c r="BC82" s="190"/>
      <c r="BD82" s="190"/>
      <c r="BE82" s="190"/>
      <c r="BF82" s="190"/>
      <c r="BG82" s="191"/>
      <c r="BH82" s="316"/>
      <c r="BI82" s="280"/>
      <c r="BJ82" s="280"/>
    </row>
    <row r="83" spans="1:193" s="33" customFormat="1" ht="75" customHeight="1" x14ac:dyDescent="0.7">
      <c r="A83" s="667"/>
      <c r="B83" s="669"/>
      <c r="C83" s="731"/>
      <c r="D83" s="732"/>
      <c r="E83" s="738"/>
      <c r="F83" s="484" t="s">
        <v>86</v>
      </c>
      <c r="G83" s="267" t="s">
        <v>22</v>
      </c>
      <c r="H83" s="186">
        <v>7.5</v>
      </c>
      <c r="I83" s="485"/>
      <c r="J83" s="190"/>
      <c r="K83" s="190"/>
      <c r="L83" s="485"/>
      <c r="M83" s="485"/>
      <c r="N83" s="485"/>
      <c r="O83" s="485"/>
      <c r="P83" s="190"/>
      <c r="Q83" s="190"/>
      <c r="R83" s="190"/>
      <c r="S83" s="190"/>
      <c r="T83" s="247"/>
      <c r="U83" s="186">
        <f>0.76</f>
        <v>0.76</v>
      </c>
      <c r="V83" s="201"/>
      <c r="W83" s="488"/>
      <c r="X83" s="485"/>
      <c r="Y83" s="485"/>
      <c r="Z83" s="187"/>
      <c r="AA83" s="187"/>
      <c r="AB83" s="190"/>
      <c r="AC83" s="190"/>
      <c r="AD83" s="190"/>
      <c r="AE83" s="190"/>
      <c r="AF83" s="190"/>
      <c r="AG83" s="247"/>
      <c r="AH83" s="186">
        <v>6.74</v>
      </c>
      <c r="AI83" s="201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247"/>
      <c r="AU83" s="487"/>
      <c r="AV83" s="190"/>
      <c r="AW83" s="486"/>
      <c r="AX83" s="187"/>
      <c r="AY83" s="187"/>
      <c r="AZ83" s="187"/>
      <c r="BA83" s="187"/>
      <c r="BB83" s="190"/>
      <c r="BC83" s="190"/>
      <c r="BD83" s="190"/>
      <c r="BE83" s="190"/>
      <c r="BF83" s="190"/>
      <c r="BG83" s="191"/>
      <c r="BH83" s="316"/>
      <c r="BI83" s="238"/>
      <c r="BJ83" s="238"/>
    </row>
    <row r="84" spans="1:193" s="505" customFormat="1" ht="75" customHeight="1" x14ac:dyDescent="0.7">
      <c r="A84" s="667"/>
      <c r="B84" s="669"/>
      <c r="C84" s="731"/>
      <c r="D84" s="732"/>
      <c r="E84" s="696" t="s">
        <v>87</v>
      </c>
      <c r="F84" s="697"/>
      <c r="G84" s="489" t="s">
        <v>22</v>
      </c>
      <c r="H84" s="490">
        <v>0.5</v>
      </c>
      <c r="I84" s="491"/>
      <c r="J84" s="492"/>
      <c r="K84" s="492"/>
      <c r="L84" s="492"/>
      <c r="M84" s="493"/>
      <c r="N84" s="492"/>
      <c r="O84" s="492"/>
      <c r="P84" s="492"/>
      <c r="Q84" s="492"/>
      <c r="R84" s="492"/>
      <c r="S84" s="492"/>
      <c r="T84" s="494"/>
      <c r="U84" s="490"/>
      <c r="V84" s="495"/>
      <c r="W84" s="164"/>
      <c r="X84" s="496"/>
      <c r="Y84" s="492"/>
      <c r="Z84" s="492"/>
      <c r="AA84" s="492"/>
      <c r="AB84" s="492"/>
      <c r="AC84" s="492"/>
      <c r="AD84" s="492"/>
      <c r="AE84" s="492"/>
      <c r="AF84" s="492"/>
      <c r="AG84" s="497"/>
      <c r="AH84" s="489">
        <v>0.5</v>
      </c>
      <c r="AI84" s="498"/>
      <c r="AJ84" s="499"/>
      <c r="AK84" s="499"/>
      <c r="AL84" s="499"/>
      <c r="AM84" s="499"/>
      <c r="AN84" s="499"/>
      <c r="AO84" s="499"/>
      <c r="AP84" s="499"/>
      <c r="AQ84" s="499"/>
      <c r="AR84" s="499"/>
      <c r="AS84" s="499"/>
      <c r="AT84" s="500"/>
      <c r="AU84" s="501"/>
      <c r="AV84" s="499"/>
      <c r="AW84" s="499"/>
      <c r="AX84" s="499"/>
      <c r="AY84" s="499"/>
      <c r="AZ84" s="499"/>
      <c r="BA84" s="502"/>
      <c r="BB84" s="499"/>
      <c r="BC84" s="499"/>
      <c r="BD84" s="499"/>
      <c r="BE84" s="499"/>
      <c r="BF84" s="499"/>
      <c r="BG84" s="503"/>
      <c r="BH84" s="504"/>
      <c r="BI84" s="238"/>
      <c r="BJ84" s="238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</row>
    <row r="85" spans="1:193" s="111" customFormat="1" ht="75" customHeight="1" x14ac:dyDescent="0.7">
      <c r="A85" s="667"/>
      <c r="B85" s="669"/>
      <c r="C85" s="731"/>
      <c r="D85" s="732"/>
      <c r="E85" s="698" t="s">
        <v>53</v>
      </c>
      <c r="F85" s="699"/>
      <c r="G85" s="506" t="s">
        <v>54</v>
      </c>
      <c r="H85" s="168">
        <f>(4.5+0.5+8.68+2.52+0.38+6.18+1.21+1.5)+(8.8+3.86+0.62+0.36+8.5)</f>
        <v>47.61</v>
      </c>
      <c r="I85" s="507"/>
      <c r="J85" s="508"/>
      <c r="K85" s="508"/>
      <c r="L85" s="508"/>
      <c r="M85" s="508"/>
      <c r="N85" s="508"/>
      <c r="O85" s="508"/>
      <c r="P85" s="508"/>
      <c r="Q85" s="508"/>
      <c r="R85" s="508"/>
      <c r="S85" s="508"/>
      <c r="T85" s="509"/>
      <c r="U85" s="510"/>
      <c r="V85" s="507"/>
      <c r="W85" s="511"/>
      <c r="X85" s="508"/>
      <c r="Y85" s="508"/>
      <c r="Z85" s="508"/>
      <c r="AA85" s="508"/>
      <c r="AB85" s="508"/>
      <c r="AC85" s="508"/>
      <c r="AD85" s="508"/>
      <c r="AE85" s="508"/>
      <c r="AF85" s="508"/>
      <c r="AG85" s="509"/>
      <c r="AH85" s="512"/>
      <c r="AI85" s="507"/>
      <c r="AJ85" s="508"/>
      <c r="AK85" s="508"/>
      <c r="AL85" s="508"/>
      <c r="AM85" s="508"/>
      <c r="AN85" s="508"/>
      <c r="AO85" s="508"/>
      <c r="AP85" s="508"/>
      <c r="AQ85" s="508"/>
      <c r="AR85" s="508"/>
      <c r="AS85" s="508"/>
      <c r="AT85" s="509"/>
      <c r="AU85" s="513"/>
      <c r="AV85" s="508"/>
      <c r="AW85" s="508"/>
      <c r="AX85" s="508"/>
      <c r="AY85" s="508"/>
      <c r="AZ85" s="508"/>
      <c r="BA85" s="508"/>
      <c r="BB85" s="508"/>
      <c r="BC85" s="514"/>
      <c r="BD85" s="515"/>
      <c r="BE85" s="516"/>
      <c r="BF85" s="515"/>
      <c r="BG85" s="514"/>
      <c r="BH85" s="517"/>
      <c r="BI85" s="238"/>
      <c r="BJ85" s="238"/>
    </row>
    <row r="86" spans="1:193" s="116" customFormat="1" ht="65.099999999999994" customHeight="1" x14ac:dyDescent="0.7">
      <c r="A86" s="667"/>
      <c r="B86" s="669"/>
      <c r="C86" s="731"/>
      <c r="D86" s="732"/>
      <c r="E86" s="698" t="s">
        <v>88</v>
      </c>
      <c r="F86" s="699"/>
      <c r="G86" s="506" t="s">
        <v>54</v>
      </c>
      <c r="H86" s="163">
        <f>370+18.2+15+1.5</f>
        <v>404.7</v>
      </c>
      <c r="I86" s="518"/>
      <c r="J86" s="519"/>
      <c r="K86" s="519"/>
      <c r="L86" s="519"/>
      <c r="M86" s="519"/>
      <c r="N86" s="519"/>
      <c r="O86" s="519"/>
      <c r="P86" s="519"/>
      <c r="Q86" s="519"/>
      <c r="R86" s="519"/>
      <c r="S86" s="519"/>
      <c r="T86" s="520"/>
      <c r="U86" s="521"/>
      <c r="V86" s="518"/>
      <c r="W86" s="519"/>
      <c r="X86" s="519"/>
      <c r="Y86" s="519"/>
      <c r="Z86" s="519"/>
      <c r="AA86" s="519"/>
      <c r="AB86" s="519"/>
      <c r="AC86" s="519"/>
      <c r="AD86" s="519"/>
      <c r="AE86" s="519"/>
      <c r="AF86" s="519"/>
      <c r="AG86" s="520"/>
      <c r="AH86" s="522"/>
      <c r="AI86" s="518"/>
      <c r="AJ86" s="519"/>
      <c r="AK86" s="519"/>
      <c r="AL86" s="519"/>
      <c r="AM86" s="519"/>
      <c r="AN86" s="519"/>
      <c r="AO86" s="519"/>
      <c r="AP86" s="519"/>
      <c r="AQ86" s="519"/>
      <c r="AR86" s="519"/>
      <c r="AS86" s="519"/>
      <c r="AT86" s="520"/>
      <c r="AU86" s="523"/>
      <c r="AV86" s="519"/>
      <c r="AW86" s="519"/>
      <c r="AX86" s="519"/>
      <c r="AY86" s="519"/>
      <c r="AZ86" s="519"/>
      <c r="BA86" s="524"/>
      <c r="BB86" s="519"/>
      <c r="BC86" s="525"/>
      <c r="BD86" s="526"/>
      <c r="BE86" s="527"/>
      <c r="BF86" s="526"/>
      <c r="BG86" s="525"/>
      <c r="BH86" s="528"/>
      <c r="BI86" s="280"/>
      <c r="BJ86" s="280"/>
    </row>
    <row r="87" spans="1:193" s="116" customFormat="1" ht="75" customHeight="1" x14ac:dyDescent="0.6">
      <c r="A87" s="667"/>
      <c r="B87" s="669"/>
      <c r="C87" s="731"/>
      <c r="D87" s="732"/>
      <c r="E87" s="698" t="s">
        <v>89</v>
      </c>
      <c r="F87" s="699"/>
      <c r="G87" s="506" t="s">
        <v>54</v>
      </c>
      <c r="H87" s="163">
        <f>750+750+5.4+1.3+4+5.4+1.3+4</f>
        <v>1521.4</v>
      </c>
      <c r="I87" s="518"/>
      <c r="J87" s="519"/>
      <c r="K87" s="519"/>
      <c r="L87" s="519"/>
      <c r="M87" s="519"/>
      <c r="N87" s="519"/>
      <c r="O87" s="519"/>
      <c r="P87" s="519"/>
      <c r="Q87" s="519"/>
      <c r="R87" s="519"/>
      <c r="S87" s="519"/>
      <c r="T87" s="520"/>
      <c r="U87" s="522"/>
      <c r="V87" s="518"/>
      <c r="W87" s="519"/>
      <c r="X87" s="519"/>
      <c r="Y87" s="519"/>
      <c r="Z87" s="519"/>
      <c r="AA87" s="519"/>
      <c r="AB87" s="519"/>
      <c r="AC87" s="519"/>
      <c r="AD87" s="519"/>
      <c r="AE87" s="519"/>
      <c r="AF87" s="519"/>
      <c r="AG87" s="520"/>
      <c r="AH87" s="522"/>
      <c r="AI87" s="518"/>
      <c r="AJ87" s="519"/>
      <c r="AK87" s="519"/>
      <c r="AL87" s="519"/>
      <c r="AM87" s="519"/>
      <c r="AN87" s="519"/>
      <c r="AO87" s="519"/>
      <c r="AP87" s="519"/>
      <c r="AQ87" s="519"/>
      <c r="AR87" s="519"/>
      <c r="AS87" s="519"/>
      <c r="AT87" s="520"/>
      <c r="AU87" s="523"/>
      <c r="AV87" s="519"/>
      <c r="AW87" s="519"/>
      <c r="AX87" s="519"/>
      <c r="AY87" s="519"/>
      <c r="AZ87" s="519"/>
      <c r="BA87" s="524"/>
      <c r="BB87" s="519"/>
      <c r="BC87" s="529"/>
      <c r="BD87" s="530"/>
      <c r="BE87" s="531"/>
      <c r="BF87" s="530"/>
      <c r="BG87" s="525"/>
      <c r="BH87" s="528"/>
      <c r="BI87" s="325"/>
      <c r="BJ87" s="325"/>
    </row>
    <row r="88" spans="1:193" s="116" customFormat="1" ht="65.099999999999994" customHeight="1" x14ac:dyDescent="0.55000000000000004">
      <c r="A88" s="667"/>
      <c r="B88" s="669"/>
      <c r="C88" s="731"/>
      <c r="D88" s="732"/>
      <c r="E88" s="698" t="s">
        <v>90</v>
      </c>
      <c r="F88" s="699"/>
      <c r="G88" s="506" t="s">
        <v>54</v>
      </c>
      <c r="H88" s="163">
        <f>402+14+402+14</f>
        <v>832</v>
      </c>
      <c r="I88" s="518"/>
      <c r="J88" s="519"/>
      <c r="K88" s="519"/>
      <c r="L88" s="519"/>
      <c r="M88" s="519"/>
      <c r="N88" s="519"/>
      <c r="O88" s="519"/>
      <c r="P88" s="519"/>
      <c r="Q88" s="519"/>
      <c r="R88" s="519"/>
      <c r="S88" s="519"/>
      <c r="T88" s="520"/>
      <c r="U88" s="522"/>
      <c r="V88" s="518"/>
      <c r="W88" s="519"/>
      <c r="X88" s="519"/>
      <c r="Y88" s="519"/>
      <c r="Z88" s="519"/>
      <c r="AA88" s="519"/>
      <c r="AB88" s="519"/>
      <c r="AC88" s="519"/>
      <c r="AD88" s="519"/>
      <c r="AE88" s="519"/>
      <c r="AF88" s="519"/>
      <c r="AG88" s="520"/>
      <c r="AH88" s="522"/>
      <c r="AI88" s="518"/>
      <c r="AJ88" s="519"/>
      <c r="AK88" s="519"/>
      <c r="AL88" s="519"/>
      <c r="AM88" s="519"/>
      <c r="AN88" s="519"/>
      <c r="AO88" s="519"/>
      <c r="AP88" s="519"/>
      <c r="AQ88" s="519"/>
      <c r="AR88" s="519"/>
      <c r="AS88" s="519"/>
      <c r="AT88" s="520"/>
      <c r="AU88" s="523"/>
      <c r="AV88" s="519"/>
      <c r="AW88" s="519"/>
      <c r="AX88" s="519"/>
      <c r="AY88" s="519"/>
      <c r="AZ88" s="519"/>
      <c r="BA88" s="524"/>
      <c r="BB88" s="519"/>
      <c r="BC88" s="525"/>
      <c r="BD88" s="526"/>
      <c r="BE88" s="527"/>
      <c r="BF88" s="526"/>
      <c r="BG88" s="525"/>
      <c r="BH88" s="528"/>
      <c r="BI88" s="330"/>
      <c r="BJ88" s="330"/>
    </row>
    <row r="89" spans="1:193" s="116" customFormat="1" ht="65.099999999999994" customHeight="1" x14ac:dyDescent="0.55000000000000004">
      <c r="A89" s="667"/>
      <c r="B89" s="669"/>
      <c r="C89" s="731"/>
      <c r="D89" s="732"/>
      <c r="E89" s="698" t="s">
        <v>91</v>
      </c>
      <c r="F89" s="699"/>
      <c r="G89" s="506" t="s">
        <v>54</v>
      </c>
      <c r="H89" s="163">
        <f>165*2+1*2</f>
        <v>332</v>
      </c>
      <c r="I89" s="518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20"/>
      <c r="U89" s="522"/>
      <c r="V89" s="518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AG89" s="520"/>
      <c r="AH89" s="522"/>
      <c r="AI89" s="518"/>
      <c r="AJ89" s="519"/>
      <c r="AK89" s="519"/>
      <c r="AL89" s="519"/>
      <c r="AM89" s="519"/>
      <c r="AN89" s="519"/>
      <c r="AO89" s="519"/>
      <c r="AP89" s="519"/>
      <c r="AQ89" s="519"/>
      <c r="AR89" s="519"/>
      <c r="AS89" s="519"/>
      <c r="AT89" s="520"/>
      <c r="AU89" s="523"/>
      <c r="AV89" s="519"/>
      <c r="AW89" s="519"/>
      <c r="AX89" s="519"/>
      <c r="AY89" s="519"/>
      <c r="AZ89" s="519"/>
      <c r="BA89" s="524"/>
      <c r="BB89" s="519"/>
      <c r="BC89" s="529"/>
      <c r="BD89" s="530"/>
      <c r="BE89" s="531"/>
      <c r="BF89" s="530"/>
      <c r="BG89" s="525"/>
      <c r="BH89" s="528"/>
      <c r="BI89" s="330"/>
      <c r="BJ89" s="330"/>
    </row>
    <row r="90" spans="1:193" s="116" customFormat="1" ht="75" customHeight="1" x14ac:dyDescent="0.55000000000000004">
      <c r="A90" s="667"/>
      <c r="B90" s="669"/>
      <c r="C90" s="731"/>
      <c r="D90" s="732"/>
      <c r="E90" s="698" t="s">
        <v>92</v>
      </c>
      <c r="F90" s="699"/>
      <c r="G90" s="506" t="s">
        <v>40</v>
      </c>
      <c r="H90" s="163">
        <v>153.31</v>
      </c>
      <c r="I90" s="518"/>
      <c r="J90" s="519"/>
      <c r="K90" s="519"/>
      <c r="L90" s="519"/>
      <c r="M90" s="519"/>
      <c r="N90" s="519"/>
      <c r="O90" s="519"/>
      <c r="P90" s="519"/>
      <c r="Q90" s="519"/>
      <c r="R90" s="519"/>
      <c r="S90" s="519"/>
      <c r="T90" s="520"/>
      <c r="U90" s="522"/>
      <c r="V90" s="518"/>
      <c r="W90" s="519"/>
      <c r="X90" s="519"/>
      <c r="Y90" s="519"/>
      <c r="Z90" s="519"/>
      <c r="AA90" s="519"/>
      <c r="AB90" s="519"/>
      <c r="AC90" s="519"/>
      <c r="AD90" s="519"/>
      <c r="AE90" s="519"/>
      <c r="AF90" s="519"/>
      <c r="AG90" s="520"/>
      <c r="AH90" s="522"/>
      <c r="AI90" s="518"/>
      <c r="AJ90" s="519"/>
      <c r="AK90" s="519"/>
      <c r="AL90" s="519"/>
      <c r="AM90" s="519"/>
      <c r="AN90" s="519"/>
      <c r="AO90" s="519"/>
      <c r="AP90" s="519"/>
      <c r="AQ90" s="519"/>
      <c r="AR90" s="519"/>
      <c r="AS90" s="519"/>
      <c r="AT90" s="520"/>
      <c r="AU90" s="523"/>
      <c r="AV90" s="519"/>
      <c r="AW90" s="519"/>
      <c r="AX90" s="519"/>
      <c r="AY90" s="519"/>
      <c r="AZ90" s="519"/>
      <c r="BA90" s="524"/>
      <c r="BB90" s="519"/>
      <c r="BC90" s="525"/>
      <c r="BD90" s="526"/>
      <c r="BE90" s="527"/>
      <c r="BF90" s="526"/>
      <c r="BG90" s="525"/>
      <c r="BH90" s="528"/>
      <c r="BI90" s="330"/>
      <c r="BJ90" s="330"/>
    </row>
    <row r="91" spans="1:193" s="116" customFormat="1" ht="208.5" customHeight="1" x14ac:dyDescent="0.5">
      <c r="A91" s="667"/>
      <c r="B91" s="669"/>
      <c r="C91" s="731"/>
      <c r="D91" s="732"/>
      <c r="E91" s="698" t="s">
        <v>93</v>
      </c>
      <c r="F91" s="699"/>
      <c r="G91" s="506" t="s">
        <v>40</v>
      </c>
      <c r="H91" s="163">
        <f>2.54+313.91+194.65+82.91+27.05</f>
        <v>621.05999999999995</v>
      </c>
      <c r="I91" s="518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20"/>
      <c r="U91" s="522"/>
      <c r="V91" s="518"/>
      <c r="W91" s="519"/>
      <c r="X91" s="519"/>
      <c r="Y91" s="519"/>
      <c r="Z91" s="519"/>
      <c r="AA91" s="519"/>
      <c r="AB91" s="519"/>
      <c r="AC91" s="519"/>
      <c r="AD91" s="519"/>
      <c r="AE91" s="519"/>
      <c r="AF91" s="519"/>
      <c r="AG91" s="520"/>
      <c r="AH91" s="522"/>
      <c r="AI91" s="518"/>
      <c r="AJ91" s="519"/>
      <c r="AK91" s="519"/>
      <c r="AL91" s="519"/>
      <c r="AM91" s="519"/>
      <c r="AN91" s="519"/>
      <c r="AO91" s="519"/>
      <c r="AP91" s="519"/>
      <c r="AQ91" s="519"/>
      <c r="AR91" s="519"/>
      <c r="AS91" s="519"/>
      <c r="AT91" s="520"/>
      <c r="AU91" s="523"/>
      <c r="AV91" s="519"/>
      <c r="AW91" s="519"/>
      <c r="AX91" s="519"/>
      <c r="AY91" s="532"/>
      <c r="AZ91" s="519"/>
      <c r="BA91" s="524"/>
      <c r="BB91" s="519"/>
      <c r="BC91" s="525"/>
      <c r="BD91" s="526"/>
      <c r="BE91" s="527"/>
      <c r="BF91" s="526"/>
      <c r="BG91" s="525"/>
      <c r="BH91" s="528"/>
      <c r="BI91"/>
      <c r="BJ91"/>
    </row>
    <row r="92" spans="1:193" ht="65.099999999999994" customHeight="1" x14ac:dyDescent="0.45">
      <c r="A92" s="667"/>
      <c r="B92" s="669"/>
      <c r="C92" s="731"/>
      <c r="D92" s="732"/>
      <c r="E92" s="698" t="s">
        <v>94</v>
      </c>
      <c r="F92" s="699"/>
      <c r="G92" s="232" t="s">
        <v>22</v>
      </c>
      <c r="H92" s="163">
        <v>70</v>
      </c>
      <c r="I92" s="169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6"/>
      <c r="U92" s="533"/>
      <c r="V92" s="169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6"/>
      <c r="AH92" s="534"/>
      <c r="AI92" s="169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6"/>
      <c r="AU92" s="474"/>
      <c r="AV92" s="164"/>
      <c r="AW92" s="164"/>
      <c r="AX92" s="164"/>
      <c r="AY92" s="164"/>
      <c r="AZ92" s="164"/>
      <c r="BA92" s="164"/>
      <c r="BB92" s="165"/>
      <c r="BC92" s="164"/>
      <c r="BD92" s="164"/>
      <c r="BE92" s="164"/>
      <c r="BF92" s="164"/>
      <c r="BG92" s="234"/>
      <c r="BH92" s="474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</row>
    <row r="93" spans="1:193" ht="65.099999999999994" customHeight="1" x14ac:dyDescent="0.45">
      <c r="A93" s="667"/>
      <c r="B93" s="669"/>
      <c r="C93" s="731"/>
      <c r="D93" s="732"/>
      <c r="E93" s="698" t="s">
        <v>95</v>
      </c>
      <c r="F93" s="699"/>
      <c r="G93" s="232" t="s">
        <v>22</v>
      </c>
      <c r="H93" s="163">
        <v>9.8699999999999992</v>
      </c>
      <c r="I93" s="169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6"/>
      <c r="U93" s="533"/>
      <c r="V93" s="169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6"/>
      <c r="AH93" s="534"/>
      <c r="AI93" s="169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6"/>
      <c r="AU93" s="474"/>
      <c r="AV93" s="164"/>
      <c r="AW93" s="164"/>
      <c r="AX93" s="164"/>
      <c r="AY93" s="164"/>
      <c r="AZ93" s="164"/>
      <c r="BA93" s="164"/>
      <c r="BB93" s="165"/>
      <c r="BC93" s="164"/>
      <c r="BD93" s="164"/>
      <c r="BE93" s="164"/>
      <c r="BF93" s="164"/>
      <c r="BG93" s="234"/>
      <c r="BH93" s="474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</row>
    <row r="94" spans="1:193" ht="75" customHeight="1" x14ac:dyDescent="0.35">
      <c r="A94" s="667"/>
      <c r="B94" s="669"/>
      <c r="C94" s="731"/>
      <c r="D94" s="732"/>
      <c r="E94" s="698" t="s">
        <v>96</v>
      </c>
      <c r="F94" s="699"/>
      <c r="G94" s="232" t="s">
        <v>22</v>
      </c>
      <c r="H94" s="163">
        <v>55.5</v>
      </c>
      <c r="I94" s="169"/>
      <c r="J94" s="164"/>
      <c r="K94" s="164"/>
      <c r="L94" s="164"/>
      <c r="M94" s="164"/>
      <c r="N94" s="164"/>
      <c r="O94" s="164"/>
      <c r="P94" s="164"/>
      <c r="Q94" s="164"/>
      <c r="R94" s="164"/>
      <c r="S94" s="535"/>
      <c r="T94" s="536"/>
      <c r="U94" s="163">
        <v>4</v>
      </c>
      <c r="V94" s="169"/>
      <c r="W94" s="164"/>
      <c r="X94" s="535"/>
      <c r="Y94" s="537"/>
      <c r="Z94" s="538"/>
      <c r="AA94" s="535"/>
      <c r="AB94" s="535"/>
      <c r="AC94" s="535"/>
      <c r="AD94" s="535"/>
      <c r="AE94" s="535"/>
      <c r="AF94" s="535"/>
      <c r="AG94" s="536"/>
      <c r="AH94" s="163">
        <v>26.5</v>
      </c>
      <c r="AI94" s="539"/>
      <c r="AJ94" s="535"/>
      <c r="AK94" s="535"/>
      <c r="AL94" s="535"/>
      <c r="AM94" s="540"/>
      <c r="AN94" s="178"/>
      <c r="AO94" s="164"/>
      <c r="AP94" s="164"/>
      <c r="AQ94" s="164"/>
      <c r="AR94" s="164"/>
      <c r="AS94" s="164"/>
      <c r="AT94" s="166"/>
      <c r="AU94" s="163">
        <v>25</v>
      </c>
      <c r="AV94" s="164"/>
      <c r="AW94" s="164"/>
      <c r="AX94" s="164"/>
      <c r="AY94" s="164"/>
      <c r="AZ94" s="164"/>
      <c r="BA94" s="164"/>
      <c r="BB94" s="165"/>
      <c r="BC94" s="164"/>
      <c r="BD94" s="164"/>
      <c r="BE94" s="164"/>
      <c r="BF94" s="164"/>
      <c r="BG94" s="166"/>
      <c r="BH94" s="167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</row>
    <row r="95" spans="1:193" ht="117.2" customHeight="1" thickBot="1" x14ac:dyDescent="0.4">
      <c r="A95" s="667"/>
      <c r="B95" s="669"/>
      <c r="C95" s="731"/>
      <c r="D95" s="732"/>
      <c r="E95" s="700" t="s">
        <v>97</v>
      </c>
      <c r="F95" s="701"/>
      <c r="G95" s="541" t="s">
        <v>40</v>
      </c>
      <c r="H95" s="490">
        <f>975.01+401.23</f>
        <v>1376.24</v>
      </c>
      <c r="I95" s="169"/>
      <c r="J95" s="164"/>
      <c r="K95" s="164"/>
      <c r="L95" s="164"/>
      <c r="M95" s="164"/>
      <c r="N95" s="164"/>
      <c r="O95" s="164"/>
      <c r="P95" s="164"/>
      <c r="Q95" s="164"/>
      <c r="R95" s="164"/>
      <c r="S95" s="535"/>
      <c r="T95" s="536"/>
      <c r="U95" s="490"/>
      <c r="V95" s="169"/>
      <c r="W95" s="164"/>
      <c r="X95" s="535"/>
      <c r="Y95" s="537"/>
      <c r="Z95" s="538"/>
      <c r="AA95" s="535"/>
      <c r="AB95" s="535"/>
      <c r="AC95" s="535"/>
      <c r="AD95" s="535"/>
      <c r="AE95" s="535"/>
      <c r="AF95" s="535"/>
      <c r="AG95" s="536"/>
      <c r="AH95" s="490"/>
      <c r="AI95" s="539"/>
      <c r="AJ95" s="535"/>
      <c r="AK95" s="535"/>
      <c r="AL95" s="535"/>
      <c r="AM95" s="540"/>
      <c r="AN95" s="178"/>
      <c r="AO95" s="164"/>
      <c r="AP95" s="164"/>
      <c r="AQ95" s="164"/>
      <c r="AR95" s="164"/>
      <c r="AS95" s="164"/>
      <c r="AT95" s="166"/>
      <c r="AU95" s="501"/>
      <c r="AV95" s="164"/>
      <c r="AW95" s="164"/>
      <c r="AX95" s="164"/>
      <c r="AY95" s="164"/>
      <c r="AZ95" s="164"/>
      <c r="BA95" s="164"/>
      <c r="BB95" s="165"/>
      <c r="BC95" s="164"/>
      <c r="BD95" s="164"/>
      <c r="BE95" s="164"/>
      <c r="BF95" s="164"/>
      <c r="BG95" s="166"/>
      <c r="BH95" s="501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</row>
    <row r="96" spans="1:193" s="133" customFormat="1" ht="75" customHeight="1" thickBot="1" x14ac:dyDescent="0.6">
      <c r="A96" s="667"/>
      <c r="B96" s="669"/>
      <c r="C96" s="733"/>
      <c r="D96" s="734"/>
      <c r="E96" s="704" t="s">
        <v>39</v>
      </c>
      <c r="F96" s="706"/>
      <c r="G96" s="305" t="s">
        <v>18</v>
      </c>
      <c r="H96" s="130">
        <f>14725.46+884.4+156.33+78.83</f>
        <v>15845.019999999999</v>
      </c>
      <c r="I96" s="685">
        <v>419.33</v>
      </c>
      <c r="J96" s="686"/>
      <c r="K96" s="686"/>
      <c r="L96" s="686"/>
      <c r="M96" s="686"/>
      <c r="N96" s="686"/>
      <c r="O96" s="686"/>
      <c r="P96" s="686"/>
      <c r="Q96" s="686"/>
      <c r="R96" s="686"/>
      <c r="S96" s="686"/>
      <c r="T96" s="687"/>
      <c r="U96" s="131"/>
      <c r="V96" s="685">
        <v>5177.87</v>
      </c>
      <c r="W96" s="686"/>
      <c r="X96" s="686"/>
      <c r="Y96" s="686"/>
      <c r="Z96" s="686"/>
      <c r="AA96" s="686"/>
      <c r="AB96" s="686"/>
      <c r="AC96" s="686"/>
      <c r="AD96" s="686"/>
      <c r="AE96" s="686"/>
      <c r="AF96" s="686"/>
      <c r="AG96" s="687"/>
      <c r="AH96" s="131"/>
      <c r="AI96" s="685">
        <v>6469.17</v>
      </c>
      <c r="AJ96" s="686"/>
      <c r="AK96" s="686"/>
      <c r="AL96" s="686"/>
      <c r="AM96" s="686"/>
      <c r="AN96" s="686"/>
      <c r="AO96" s="686"/>
      <c r="AP96" s="686"/>
      <c r="AQ96" s="686"/>
      <c r="AR96" s="686"/>
      <c r="AS96" s="686"/>
      <c r="AT96" s="687"/>
      <c r="AU96" s="132"/>
      <c r="AV96" s="685">
        <f>3732.645+46</f>
        <v>3778.645</v>
      </c>
      <c r="AW96" s="686"/>
      <c r="AX96" s="686"/>
      <c r="AY96" s="686"/>
      <c r="AZ96" s="686"/>
      <c r="BA96" s="686"/>
      <c r="BB96" s="686"/>
      <c r="BC96" s="686"/>
      <c r="BD96" s="686"/>
      <c r="BE96" s="686"/>
      <c r="BF96" s="686"/>
      <c r="BG96" s="687"/>
      <c r="BH96" s="132"/>
      <c r="BI96"/>
      <c r="BJ96" s="542">
        <f>H96-I96-V96-AI96-AV96</f>
        <v>4.999999999654392E-3</v>
      </c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</row>
    <row r="97" spans="1:198" ht="70.5" customHeight="1" x14ac:dyDescent="0.55000000000000004">
      <c r="A97" s="667"/>
      <c r="B97" s="669"/>
      <c r="C97" s="729" t="s">
        <v>98</v>
      </c>
      <c r="D97" s="730"/>
      <c r="E97" s="698" t="s">
        <v>99</v>
      </c>
      <c r="F97" s="699"/>
      <c r="G97" s="232" t="s">
        <v>22</v>
      </c>
      <c r="H97" s="163">
        <v>7.8</v>
      </c>
      <c r="I97" s="169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6"/>
      <c r="U97" s="533"/>
      <c r="V97" s="169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6"/>
      <c r="AH97" s="533"/>
      <c r="AI97" s="169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6"/>
      <c r="AU97" s="474"/>
      <c r="AV97" s="164"/>
      <c r="AW97" s="164"/>
      <c r="AX97" s="164"/>
      <c r="AY97" s="164"/>
      <c r="AZ97" s="164"/>
      <c r="BA97" s="164"/>
      <c r="BB97" s="165"/>
      <c r="BC97" s="164"/>
      <c r="BD97" s="164"/>
      <c r="BE97" s="164"/>
      <c r="BF97" s="164"/>
      <c r="BG97" s="166"/>
      <c r="BH97" s="474"/>
      <c r="BJ97" s="542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</row>
    <row r="98" spans="1:198" ht="75" customHeight="1" thickBot="1" x14ac:dyDescent="0.6">
      <c r="A98" s="667"/>
      <c r="B98" s="669"/>
      <c r="C98" s="731"/>
      <c r="D98" s="732"/>
      <c r="E98" s="711" t="s">
        <v>100</v>
      </c>
      <c r="F98" s="712"/>
      <c r="G98" s="543" t="s">
        <v>40</v>
      </c>
      <c r="H98" s="209">
        <f>0.29+41.74</f>
        <v>42.03</v>
      </c>
      <c r="I98" s="206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8"/>
      <c r="U98" s="544"/>
      <c r="V98" s="206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8"/>
      <c r="AH98" s="544"/>
      <c r="AI98" s="206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8"/>
      <c r="AU98" s="545"/>
      <c r="AV98" s="207"/>
      <c r="AW98" s="207"/>
      <c r="AX98" s="207"/>
      <c r="AY98" s="207"/>
      <c r="AZ98" s="207"/>
      <c r="BA98" s="207"/>
      <c r="BB98" s="211"/>
      <c r="BC98" s="207"/>
      <c r="BD98" s="207"/>
      <c r="BE98" s="207"/>
      <c r="BF98" s="207"/>
      <c r="BG98" s="208"/>
      <c r="BH98" s="545"/>
      <c r="BJ98" s="542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</row>
    <row r="99" spans="1:198" s="203" customFormat="1" ht="75" customHeight="1" thickBot="1" x14ac:dyDescent="0.6">
      <c r="A99" s="667"/>
      <c r="B99" s="669"/>
      <c r="C99" s="733"/>
      <c r="D99" s="734"/>
      <c r="E99" s="704" t="s">
        <v>39</v>
      </c>
      <c r="F99" s="706"/>
      <c r="G99" s="546" t="s">
        <v>18</v>
      </c>
      <c r="H99" s="130">
        <f>ROUND(I99+V99+AI99+AV99,2)</f>
        <v>409.1</v>
      </c>
      <c r="I99" s="685">
        <v>0</v>
      </c>
      <c r="J99" s="686"/>
      <c r="K99" s="686"/>
      <c r="L99" s="686"/>
      <c r="M99" s="686"/>
      <c r="N99" s="686"/>
      <c r="O99" s="686"/>
      <c r="P99" s="686"/>
      <c r="Q99" s="686"/>
      <c r="R99" s="686"/>
      <c r="S99" s="686"/>
      <c r="T99" s="687"/>
      <c r="U99" s="132"/>
      <c r="V99" s="685">
        <v>0</v>
      </c>
      <c r="W99" s="686"/>
      <c r="X99" s="686"/>
      <c r="Y99" s="686"/>
      <c r="Z99" s="686"/>
      <c r="AA99" s="686"/>
      <c r="AB99" s="686"/>
      <c r="AC99" s="686"/>
      <c r="AD99" s="686"/>
      <c r="AE99" s="686"/>
      <c r="AF99" s="686"/>
      <c r="AG99" s="687"/>
      <c r="AH99" s="132"/>
      <c r="AI99" s="685">
        <v>104.9</v>
      </c>
      <c r="AJ99" s="686"/>
      <c r="AK99" s="686"/>
      <c r="AL99" s="686"/>
      <c r="AM99" s="686"/>
      <c r="AN99" s="686"/>
      <c r="AO99" s="686"/>
      <c r="AP99" s="686"/>
      <c r="AQ99" s="686"/>
      <c r="AR99" s="686"/>
      <c r="AS99" s="686"/>
      <c r="AT99" s="687"/>
      <c r="AU99" s="131"/>
      <c r="AV99" s="685">
        <v>304.2</v>
      </c>
      <c r="AW99" s="686"/>
      <c r="AX99" s="686"/>
      <c r="AY99" s="686"/>
      <c r="AZ99" s="686"/>
      <c r="BA99" s="686"/>
      <c r="BB99" s="686"/>
      <c r="BC99" s="686"/>
      <c r="BD99" s="686"/>
      <c r="BE99" s="686"/>
      <c r="BF99" s="686"/>
      <c r="BG99" s="687"/>
      <c r="BH99" s="132"/>
      <c r="BI99"/>
      <c r="BJ99" s="542">
        <f t="shared" ref="BJ99:BJ113" si="5">H99-I99-V99-AI99-AV99</f>
        <v>0</v>
      </c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</row>
    <row r="100" spans="1:198" s="547" customFormat="1" ht="90" customHeight="1" thickBot="1" x14ac:dyDescent="0.6">
      <c r="A100" s="667"/>
      <c r="B100" s="670"/>
      <c r="C100" s="742" t="s">
        <v>101</v>
      </c>
      <c r="D100" s="743"/>
      <c r="E100" s="704" t="s">
        <v>39</v>
      </c>
      <c r="F100" s="706"/>
      <c r="G100" s="546" t="s">
        <v>18</v>
      </c>
      <c r="H100" s="130">
        <f>ROUND(I100+V100+AI100+AV100,2)</f>
        <v>1239.51</v>
      </c>
      <c r="I100" s="685">
        <v>50</v>
      </c>
      <c r="J100" s="686"/>
      <c r="K100" s="686"/>
      <c r="L100" s="686"/>
      <c r="M100" s="686"/>
      <c r="N100" s="686"/>
      <c r="O100" s="686"/>
      <c r="P100" s="686"/>
      <c r="Q100" s="686"/>
      <c r="R100" s="686"/>
      <c r="S100" s="686"/>
      <c r="T100" s="687"/>
      <c r="U100" s="132"/>
      <c r="V100" s="685">
        <v>350</v>
      </c>
      <c r="W100" s="686"/>
      <c r="X100" s="686"/>
      <c r="Y100" s="686"/>
      <c r="Z100" s="686"/>
      <c r="AA100" s="686"/>
      <c r="AB100" s="686"/>
      <c r="AC100" s="686"/>
      <c r="AD100" s="686"/>
      <c r="AE100" s="686"/>
      <c r="AF100" s="686"/>
      <c r="AG100" s="687"/>
      <c r="AH100" s="132"/>
      <c r="AI100" s="685">
        <v>380</v>
      </c>
      <c r="AJ100" s="686"/>
      <c r="AK100" s="686"/>
      <c r="AL100" s="686"/>
      <c r="AM100" s="686"/>
      <c r="AN100" s="686"/>
      <c r="AO100" s="686"/>
      <c r="AP100" s="686"/>
      <c r="AQ100" s="686"/>
      <c r="AR100" s="686"/>
      <c r="AS100" s="686"/>
      <c r="AT100" s="687"/>
      <c r="AU100" s="131"/>
      <c r="AV100" s="685">
        <f>410+49.51</f>
        <v>459.51</v>
      </c>
      <c r="AW100" s="686"/>
      <c r="AX100" s="686"/>
      <c r="AY100" s="686"/>
      <c r="AZ100" s="686"/>
      <c r="BA100" s="686"/>
      <c r="BB100" s="686"/>
      <c r="BC100" s="686"/>
      <c r="BD100" s="686"/>
      <c r="BE100" s="686"/>
      <c r="BF100" s="686"/>
      <c r="BG100" s="687"/>
      <c r="BH100" s="132"/>
      <c r="BI100"/>
      <c r="BJ100" s="542">
        <f t="shared" si="5"/>
        <v>0</v>
      </c>
      <c r="BK100"/>
      <c r="BL100"/>
      <c r="BM100"/>
      <c r="BN100"/>
      <c r="BO100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  <c r="DU100" s="222"/>
      <c r="DV100" s="222"/>
      <c r="DW100" s="222"/>
      <c r="DX100" s="222"/>
      <c r="DY100" s="222"/>
      <c r="DZ100" s="222"/>
      <c r="EA100" s="222"/>
      <c r="EB100" s="222"/>
      <c r="EC100" s="222"/>
      <c r="ED100" s="222"/>
      <c r="EE100" s="222"/>
      <c r="EF100" s="222"/>
      <c r="EG100" s="222"/>
      <c r="EH100" s="222"/>
      <c r="EI100" s="222"/>
      <c r="EJ100" s="222"/>
      <c r="EK100" s="222"/>
      <c r="EL100" s="222"/>
      <c r="EM100" s="222"/>
      <c r="EN100" s="222"/>
      <c r="EO100" s="222"/>
      <c r="EP100" s="222"/>
      <c r="EQ100" s="222"/>
      <c r="ER100" s="222"/>
      <c r="ES100" s="222"/>
      <c r="ET100" s="222"/>
      <c r="EU100" s="222"/>
      <c r="EV100" s="222"/>
      <c r="EW100" s="222"/>
      <c r="EX100" s="222"/>
      <c r="EY100" s="222"/>
      <c r="EZ100" s="222"/>
      <c r="FA100" s="222"/>
      <c r="FB100" s="222"/>
      <c r="FC100" s="222"/>
      <c r="FD100" s="222"/>
      <c r="FE100" s="222"/>
      <c r="FF100" s="222"/>
      <c r="FG100" s="222"/>
      <c r="FH100" s="222"/>
      <c r="FI100" s="222"/>
      <c r="FJ100" s="222"/>
      <c r="FK100" s="222"/>
      <c r="FL100" s="222"/>
      <c r="FM100" s="222"/>
      <c r="FN100" s="222"/>
      <c r="FO100" s="222"/>
      <c r="FP100" s="222"/>
      <c r="FQ100" s="222"/>
      <c r="FR100" s="222"/>
      <c r="FS100" s="222"/>
      <c r="FT100" s="222"/>
      <c r="FU100" s="222"/>
      <c r="FV100" s="222"/>
      <c r="FW100" s="222"/>
      <c r="FX100" s="222"/>
      <c r="FY100" s="222"/>
      <c r="FZ100" s="222"/>
      <c r="GA100" s="222"/>
      <c r="GB100" s="222"/>
      <c r="GC100" s="222"/>
      <c r="GD100" s="222"/>
      <c r="GE100" s="222"/>
      <c r="GF100" s="222"/>
      <c r="GG100" s="222"/>
      <c r="GH100" s="222"/>
      <c r="GI100" s="222"/>
      <c r="GJ100" s="222"/>
      <c r="GK100" s="222"/>
      <c r="GL100" s="222"/>
      <c r="GM100" s="222"/>
      <c r="GN100" s="222"/>
      <c r="GO100" s="222"/>
      <c r="GP100" s="222"/>
    </row>
    <row r="101" spans="1:198" s="238" customFormat="1" ht="110.1" customHeight="1" thickBot="1" x14ac:dyDescent="0.75">
      <c r="A101" s="23"/>
      <c r="B101" s="24">
        <v>3</v>
      </c>
      <c r="C101" s="648" t="s">
        <v>102</v>
      </c>
      <c r="D101" s="649"/>
      <c r="E101" s="649"/>
      <c r="F101" s="650"/>
      <c r="G101" s="548" t="s">
        <v>18</v>
      </c>
      <c r="H101" s="548">
        <v>1090.82</v>
      </c>
      <c r="I101" s="739">
        <v>0</v>
      </c>
      <c r="J101" s="740"/>
      <c r="K101" s="740"/>
      <c r="L101" s="740"/>
      <c r="M101" s="740"/>
      <c r="N101" s="740"/>
      <c r="O101" s="740"/>
      <c r="P101" s="740"/>
      <c r="Q101" s="740"/>
      <c r="R101" s="740"/>
      <c r="S101" s="740"/>
      <c r="T101" s="741"/>
      <c r="U101" s="551"/>
      <c r="V101" s="739">
        <f>238.98+10.71+70.04+3.37+26.34+0.12+(98.64+1)/4+(407.89+47.6)/4</f>
        <v>488.34250000000003</v>
      </c>
      <c r="W101" s="740"/>
      <c r="X101" s="740"/>
      <c r="Y101" s="740"/>
      <c r="Z101" s="740"/>
      <c r="AA101" s="740"/>
      <c r="AB101" s="740"/>
      <c r="AC101" s="740"/>
      <c r="AD101" s="740"/>
      <c r="AE101" s="740"/>
      <c r="AF101" s="740"/>
      <c r="AG101" s="741"/>
      <c r="AH101" s="551"/>
      <c r="AI101" s="739">
        <f>(98.64+1)*2/4+29.35+3.49+101.36+2.12+28.08+21.73+(407.89+47.6)*2/4</f>
        <v>463.69499999999994</v>
      </c>
      <c r="AJ101" s="740"/>
      <c r="AK101" s="740"/>
      <c r="AL101" s="740"/>
      <c r="AM101" s="740"/>
      <c r="AN101" s="740"/>
      <c r="AO101" s="740"/>
      <c r="AP101" s="740"/>
      <c r="AQ101" s="740"/>
      <c r="AR101" s="740"/>
      <c r="AS101" s="740"/>
      <c r="AT101" s="741"/>
      <c r="AU101" s="552"/>
      <c r="AV101" s="739">
        <f>(98.64+1)/4+(407.89+47.6)/4</f>
        <v>138.7825</v>
      </c>
      <c r="AW101" s="740"/>
      <c r="AX101" s="740"/>
      <c r="AY101" s="740"/>
      <c r="AZ101" s="740"/>
      <c r="BA101" s="740"/>
      <c r="BB101" s="740"/>
      <c r="BC101" s="740"/>
      <c r="BD101" s="740"/>
      <c r="BE101" s="740"/>
      <c r="BF101" s="740"/>
      <c r="BG101" s="741"/>
      <c r="BH101" s="553"/>
      <c r="BI101"/>
      <c r="BJ101" s="542">
        <f t="shared" si="5"/>
        <v>0</v>
      </c>
      <c r="BK101"/>
      <c r="BL101"/>
      <c r="BM101"/>
      <c r="BN101"/>
      <c r="BO101"/>
      <c r="FZ101" s="554"/>
      <c r="GA101" s="554"/>
      <c r="GB101" s="554"/>
      <c r="GC101" s="554"/>
      <c r="GD101" s="554"/>
      <c r="GE101" s="554"/>
      <c r="GF101" s="554"/>
      <c r="GG101" s="554"/>
      <c r="GH101" s="554"/>
      <c r="GI101" s="554"/>
      <c r="GJ101" s="554"/>
      <c r="GK101" s="554"/>
      <c r="GL101" s="554"/>
      <c r="GM101" s="554"/>
      <c r="GN101" s="554"/>
      <c r="GO101" s="554"/>
      <c r="GP101" s="554"/>
    </row>
    <row r="102" spans="1:198" s="238" customFormat="1" ht="110.1" customHeight="1" thickBot="1" x14ac:dyDescent="0.75">
      <c r="A102" s="23"/>
      <c r="B102" s="24">
        <v>4</v>
      </c>
      <c r="C102" s="648" t="s">
        <v>103</v>
      </c>
      <c r="D102" s="649"/>
      <c r="E102" s="649"/>
      <c r="F102" s="650"/>
      <c r="G102" s="25" t="s">
        <v>18</v>
      </c>
      <c r="H102" s="548">
        <v>418.44999999999993</v>
      </c>
      <c r="I102" s="651">
        <v>8.24</v>
      </c>
      <c r="J102" s="652"/>
      <c r="K102" s="652"/>
      <c r="L102" s="652"/>
      <c r="M102" s="652"/>
      <c r="N102" s="652"/>
      <c r="O102" s="652"/>
      <c r="P102" s="652"/>
      <c r="Q102" s="652"/>
      <c r="R102" s="652"/>
      <c r="S102" s="652"/>
      <c r="T102" s="653"/>
      <c r="U102" s="551"/>
      <c r="V102" s="651">
        <f>(219.1)+(89.11+4.65)/3</f>
        <v>250.35333333333332</v>
      </c>
      <c r="W102" s="652"/>
      <c r="X102" s="652"/>
      <c r="Y102" s="652"/>
      <c r="Z102" s="652"/>
      <c r="AA102" s="652"/>
      <c r="AB102" s="652"/>
      <c r="AC102" s="652"/>
      <c r="AD102" s="652"/>
      <c r="AE102" s="652"/>
      <c r="AF102" s="652"/>
      <c r="AG102" s="653"/>
      <c r="AH102" s="551"/>
      <c r="AI102" s="651">
        <f>(89.11+4.65)*2/3</f>
        <v>62.506666666666668</v>
      </c>
      <c r="AJ102" s="652"/>
      <c r="AK102" s="652"/>
      <c r="AL102" s="652"/>
      <c r="AM102" s="652"/>
      <c r="AN102" s="652"/>
      <c r="AO102" s="652"/>
      <c r="AP102" s="652"/>
      <c r="AQ102" s="652"/>
      <c r="AR102" s="652"/>
      <c r="AS102" s="652"/>
      <c r="AT102" s="653"/>
      <c r="AU102" s="552"/>
      <c r="AV102" s="651">
        <f>55.35+42</f>
        <v>97.35</v>
      </c>
      <c r="AW102" s="652"/>
      <c r="AX102" s="652"/>
      <c r="AY102" s="652"/>
      <c r="AZ102" s="652"/>
      <c r="BA102" s="652"/>
      <c r="BB102" s="652"/>
      <c r="BC102" s="652"/>
      <c r="BD102" s="652"/>
      <c r="BE102" s="652"/>
      <c r="BF102" s="652"/>
      <c r="BG102" s="653"/>
      <c r="BH102" s="553"/>
      <c r="BI102"/>
      <c r="BJ102" s="542">
        <f t="shared" si="5"/>
        <v>0</v>
      </c>
      <c r="BK102"/>
      <c r="BL102"/>
      <c r="BM102"/>
      <c r="BN102"/>
      <c r="BO102"/>
      <c r="FZ102" s="554"/>
      <c r="GA102" s="554"/>
      <c r="GB102" s="554"/>
      <c r="GC102" s="554"/>
      <c r="GD102" s="554"/>
      <c r="GE102" s="554"/>
      <c r="GF102" s="554"/>
      <c r="GG102" s="554"/>
      <c r="GH102" s="554"/>
      <c r="GI102" s="554"/>
      <c r="GJ102" s="554"/>
      <c r="GK102" s="554"/>
      <c r="GL102" s="554"/>
      <c r="GM102" s="554"/>
      <c r="GN102" s="554"/>
      <c r="GO102" s="554"/>
      <c r="GP102" s="554"/>
    </row>
    <row r="103" spans="1:198" s="238" customFormat="1" ht="110.1" customHeight="1" thickBot="1" x14ac:dyDescent="0.75">
      <c r="A103" s="23"/>
      <c r="B103" s="24">
        <v>5</v>
      </c>
      <c r="C103" s="648" t="s">
        <v>104</v>
      </c>
      <c r="D103" s="649"/>
      <c r="E103" s="649"/>
      <c r="F103" s="650"/>
      <c r="G103" s="25" t="s">
        <v>18</v>
      </c>
      <c r="H103" s="548">
        <v>5477.82</v>
      </c>
      <c r="I103" s="651">
        <f>55.6+46.3</f>
        <v>101.9</v>
      </c>
      <c r="J103" s="652"/>
      <c r="K103" s="652"/>
      <c r="L103" s="652"/>
      <c r="M103" s="652"/>
      <c r="N103" s="652"/>
      <c r="O103" s="652"/>
      <c r="P103" s="652"/>
      <c r="Q103" s="652"/>
      <c r="R103" s="652"/>
      <c r="S103" s="652"/>
      <c r="T103" s="653"/>
      <c r="U103" s="551"/>
      <c r="V103" s="651">
        <f>(693.65-55.6)+125.99+1226.2+68.78+(592.58-46.3)+1833.46*2/3</f>
        <v>3827.6066666666666</v>
      </c>
      <c r="W103" s="652"/>
      <c r="X103" s="652"/>
      <c r="Y103" s="652"/>
      <c r="Z103" s="652"/>
      <c r="AA103" s="652"/>
      <c r="AB103" s="652"/>
      <c r="AC103" s="652"/>
      <c r="AD103" s="652"/>
      <c r="AE103" s="652"/>
      <c r="AF103" s="652"/>
      <c r="AG103" s="653"/>
      <c r="AH103" s="551"/>
      <c r="AI103" s="651">
        <f>137.16+800/2+1833.46/3</f>
        <v>1148.3133333333333</v>
      </c>
      <c r="AJ103" s="652"/>
      <c r="AK103" s="652"/>
      <c r="AL103" s="652"/>
      <c r="AM103" s="652"/>
      <c r="AN103" s="652"/>
      <c r="AO103" s="652"/>
      <c r="AP103" s="652"/>
      <c r="AQ103" s="652"/>
      <c r="AR103" s="652"/>
      <c r="AS103" s="652"/>
      <c r="AT103" s="653"/>
      <c r="AU103" s="552"/>
      <c r="AV103" s="651">
        <f>800/2</f>
        <v>400</v>
      </c>
      <c r="AW103" s="652"/>
      <c r="AX103" s="652"/>
      <c r="AY103" s="652"/>
      <c r="AZ103" s="652"/>
      <c r="BA103" s="652"/>
      <c r="BB103" s="652"/>
      <c r="BC103" s="652"/>
      <c r="BD103" s="652"/>
      <c r="BE103" s="652"/>
      <c r="BF103" s="652"/>
      <c r="BG103" s="653"/>
      <c r="BH103" s="553"/>
      <c r="BI103"/>
      <c r="BJ103" s="542">
        <f t="shared" si="5"/>
        <v>0</v>
      </c>
      <c r="BK103"/>
      <c r="BL103"/>
      <c r="BM103"/>
      <c r="BN103"/>
      <c r="BO103"/>
      <c r="FZ103" s="554"/>
      <c r="GA103" s="554"/>
      <c r="GB103" s="554"/>
      <c r="GC103" s="554"/>
      <c r="GD103" s="554"/>
      <c r="GE103" s="554"/>
      <c r="GF103" s="554"/>
      <c r="GG103" s="554"/>
      <c r="GH103" s="554"/>
      <c r="GI103" s="554"/>
      <c r="GJ103" s="554"/>
      <c r="GK103" s="554"/>
      <c r="GL103" s="554"/>
      <c r="GM103" s="554"/>
      <c r="GN103" s="554"/>
      <c r="GO103" s="554"/>
      <c r="GP103" s="554"/>
    </row>
    <row r="104" spans="1:198" s="238" customFormat="1" ht="110.1" customHeight="1" thickBot="1" x14ac:dyDescent="0.75">
      <c r="A104" s="23"/>
      <c r="B104" s="24">
        <v>6</v>
      </c>
      <c r="C104" s="648" t="s">
        <v>105</v>
      </c>
      <c r="D104" s="649"/>
      <c r="E104" s="649"/>
      <c r="F104" s="650"/>
      <c r="G104" s="25" t="s">
        <v>18</v>
      </c>
      <c r="H104" s="548">
        <v>327.3</v>
      </c>
      <c r="I104" s="651">
        <v>0</v>
      </c>
      <c r="J104" s="652"/>
      <c r="K104" s="652"/>
      <c r="L104" s="652"/>
      <c r="M104" s="652"/>
      <c r="N104" s="652"/>
      <c r="O104" s="652"/>
      <c r="P104" s="652"/>
      <c r="Q104" s="652"/>
      <c r="R104" s="652"/>
      <c r="S104" s="652"/>
      <c r="T104" s="653"/>
      <c r="U104" s="551"/>
      <c r="V104" s="651">
        <v>180.34</v>
      </c>
      <c r="W104" s="652"/>
      <c r="X104" s="652"/>
      <c r="Y104" s="652"/>
      <c r="Z104" s="652"/>
      <c r="AA104" s="652"/>
      <c r="AB104" s="652"/>
      <c r="AC104" s="652"/>
      <c r="AD104" s="652"/>
      <c r="AE104" s="652"/>
      <c r="AF104" s="652"/>
      <c r="AG104" s="653"/>
      <c r="AH104" s="551"/>
      <c r="AI104" s="651">
        <v>146.96</v>
      </c>
      <c r="AJ104" s="652"/>
      <c r="AK104" s="652"/>
      <c r="AL104" s="652"/>
      <c r="AM104" s="652"/>
      <c r="AN104" s="652"/>
      <c r="AO104" s="652"/>
      <c r="AP104" s="652"/>
      <c r="AQ104" s="652"/>
      <c r="AR104" s="652"/>
      <c r="AS104" s="652"/>
      <c r="AT104" s="653"/>
      <c r="AU104" s="552"/>
      <c r="AV104" s="651">
        <v>0</v>
      </c>
      <c r="AW104" s="652"/>
      <c r="AX104" s="652"/>
      <c r="AY104" s="652"/>
      <c r="AZ104" s="652"/>
      <c r="BA104" s="652"/>
      <c r="BB104" s="652"/>
      <c r="BC104" s="652"/>
      <c r="BD104" s="652"/>
      <c r="BE104" s="652"/>
      <c r="BF104" s="652"/>
      <c r="BG104" s="653"/>
      <c r="BH104" s="553"/>
      <c r="BI104"/>
      <c r="BJ104" s="542">
        <f t="shared" si="5"/>
        <v>0</v>
      </c>
      <c r="BK104"/>
      <c r="BL104"/>
      <c r="BM104"/>
      <c r="BN104"/>
      <c r="BO104"/>
      <c r="FZ104" s="554"/>
      <c r="GA104" s="554"/>
      <c r="GB104" s="554"/>
      <c r="GC104" s="554"/>
      <c r="GD104" s="554"/>
      <c r="GE104" s="554"/>
      <c r="GF104" s="554"/>
      <c r="GG104" s="554"/>
      <c r="GH104" s="554"/>
      <c r="GI104" s="554"/>
      <c r="GJ104" s="554"/>
      <c r="GK104" s="554"/>
      <c r="GL104" s="554"/>
      <c r="GM104" s="554"/>
      <c r="GN104" s="554"/>
      <c r="GO104" s="554"/>
      <c r="GP104" s="554"/>
    </row>
    <row r="105" spans="1:198" s="238" customFormat="1" ht="110.1" customHeight="1" thickBot="1" x14ac:dyDescent="0.75">
      <c r="A105" s="23"/>
      <c r="B105" s="24">
        <v>7</v>
      </c>
      <c r="C105" s="648" t="s">
        <v>106</v>
      </c>
      <c r="D105" s="649"/>
      <c r="E105" s="649"/>
      <c r="F105" s="650"/>
      <c r="G105" s="25" t="s">
        <v>18</v>
      </c>
      <c r="H105" s="548">
        <v>1487.49</v>
      </c>
      <c r="I105" s="651">
        <v>0</v>
      </c>
      <c r="J105" s="652"/>
      <c r="K105" s="652"/>
      <c r="L105" s="652"/>
      <c r="M105" s="652"/>
      <c r="N105" s="652"/>
      <c r="O105" s="652"/>
      <c r="P105" s="652"/>
      <c r="Q105" s="652"/>
      <c r="R105" s="652"/>
      <c r="S105" s="652"/>
      <c r="T105" s="653"/>
      <c r="U105" s="551"/>
      <c r="V105" s="651">
        <v>0</v>
      </c>
      <c r="W105" s="652"/>
      <c r="X105" s="652"/>
      <c r="Y105" s="652"/>
      <c r="Z105" s="652"/>
      <c r="AA105" s="652"/>
      <c r="AB105" s="652"/>
      <c r="AC105" s="652"/>
      <c r="AD105" s="652"/>
      <c r="AE105" s="652"/>
      <c r="AF105" s="652"/>
      <c r="AG105" s="653"/>
      <c r="AH105" s="551"/>
      <c r="AI105" s="651">
        <v>0</v>
      </c>
      <c r="AJ105" s="652"/>
      <c r="AK105" s="652"/>
      <c r="AL105" s="652"/>
      <c r="AM105" s="652"/>
      <c r="AN105" s="652"/>
      <c r="AO105" s="652"/>
      <c r="AP105" s="652"/>
      <c r="AQ105" s="652"/>
      <c r="AR105" s="652"/>
      <c r="AS105" s="652"/>
      <c r="AT105" s="653"/>
      <c r="AU105" s="552"/>
      <c r="AV105" s="651">
        <f>916+571.49</f>
        <v>1487.49</v>
      </c>
      <c r="AW105" s="652"/>
      <c r="AX105" s="652"/>
      <c r="AY105" s="652"/>
      <c r="AZ105" s="652"/>
      <c r="BA105" s="652"/>
      <c r="BB105" s="652"/>
      <c r="BC105" s="652"/>
      <c r="BD105" s="652"/>
      <c r="BE105" s="652"/>
      <c r="BF105" s="652"/>
      <c r="BG105" s="653"/>
      <c r="BH105" s="553"/>
      <c r="BI105"/>
      <c r="BJ105" s="542">
        <f t="shared" si="5"/>
        <v>0</v>
      </c>
      <c r="BK105"/>
      <c r="BL105"/>
      <c r="BM105"/>
      <c r="BN105"/>
      <c r="BO105"/>
      <c r="FZ105" s="554"/>
      <c r="GA105" s="554"/>
      <c r="GB105" s="554"/>
      <c r="GC105" s="554"/>
      <c r="GD105" s="554"/>
      <c r="GE105" s="554"/>
      <c r="GF105" s="554"/>
      <c r="GG105" s="554"/>
      <c r="GH105" s="554"/>
      <c r="GI105" s="554"/>
      <c r="GJ105" s="554"/>
      <c r="GK105" s="554"/>
      <c r="GL105" s="554"/>
      <c r="GM105" s="554"/>
      <c r="GN105" s="554"/>
      <c r="GO105" s="554"/>
      <c r="GP105" s="554"/>
    </row>
    <row r="106" spans="1:198" s="238" customFormat="1" ht="110.1" customHeight="1" thickBot="1" x14ac:dyDescent="0.75">
      <c r="A106" s="23"/>
      <c r="B106" s="24">
        <v>8</v>
      </c>
      <c r="C106" s="648" t="s">
        <v>107</v>
      </c>
      <c r="D106" s="649"/>
      <c r="E106" s="649"/>
      <c r="F106" s="650"/>
      <c r="G106" s="25" t="s">
        <v>18</v>
      </c>
      <c r="H106" s="548">
        <f>I106+V106+AI106+AV106</f>
        <v>4503</v>
      </c>
      <c r="I106" s="651">
        <f>350-132.18</f>
        <v>217.82</v>
      </c>
      <c r="J106" s="652"/>
      <c r="K106" s="652"/>
      <c r="L106" s="652"/>
      <c r="M106" s="652"/>
      <c r="N106" s="652"/>
      <c r="O106" s="652"/>
      <c r="P106" s="652"/>
      <c r="Q106" s="652"/>
      <c r="R106" s="652"/>
      <c r="S106" s="652"/>
      <c r="T106" s="653"/>
      <c r="U106" s="551"/>
      <c r="V106" s="651">
        <f>(1599.83+216.65-350-248.75)+202.43+20.18+(56.2+21.27-30-19.63)+87</f>
        <v>1555.18</v>
      </c>
      <c r="W106" s="652"/>
      <c r="X106" s="652"/>
      <c r="Y106" s="652"/>
      <c r="Z106" s="652"/>
      <c r="AA106" s="652"/>
      <c r="AB106" s="652"/>
      <c r="AC106" s="652"/>
      <c r="AD106" s="652"/>
      <c r="AE106" s="652"/>
      <c r="AF106" s="652"/>
      <c r="AG106" s="653"/>
      <c r="AH106" s="551"/>
      <c r="AI106" s="651">
        <v>30</v>
      </c>
      <c r="AJ106" s="652"/>
      <c r="AK106" s="652"/>
      <c r="AL106" s="652"/>
      <c r="AM106" s="652"/>
      <c r="AN106" s="652"/>
      <c r="AO106" s="652"/>
      <c r="AP106" s="652"/>
      <c r="AQ106" s="652"/>
      <c r="AR106" s="652"/>
      <c r="AS106" s="652"/>
      <c r="AT106" s="653"/>
      <c r="AU106" s="552"/>
      <c r="AV106" s="651">
        <v>2700</v>
      </c>
      <c r="AW106" s="652"/>
      <c r="AX106" s="652"/>
      <c r="AY106" s="652"/>
      <c r="AZ106" s="652"/>
      <c r="BA106" s="652"/>
      <c r="BB106" s="652"/>
      <c r="BC106" s="652"/>
      <c r="BD106" s="652"/>
      <c r="BE106" s="652"/>
      <c r="BF106" s="652"/>
      <c r="BG106" s="653"/>
      <c r="BH106" s="553"/>
      <c r="BI106"/>
      <c r="BJ106" s="542">
        <f t="shared" si="5"/>
        <v>0</v>
      </c>
      <c r="BK106"/>
      <c r="BL106"/>
      <c r="BM106"/>
      <c r="BN106"/>
      <c r="BO106"/>
      <c r="FZ106" s="554"/>
      <c r="GA106" s="554"/>
      <c r="GB106" s="554"/>
      <c r="GC106" s="554"/>
      <c r="GD106" s="554"/>
      <c r="GE106" s="554"/>
      <c r="GF106" s="554"/>
      <c r="GG106" s="554"/>
      <c r="GH106" s="554"/>
      <c r="GI106" s="554"/>
      <c r="GJ106" s="554"/>
      <c r="GK106" s="554"/>
      <c r="GL106" s="554"/>
      <c r="GM106" s="554"/>
      <c r="GN106" s="554"/>
      <c r="GO106" s="554"/>
      <c r="GP106" s="554"/>
    </row>
    <row r="107" spans="1:198" s="280" customFormat="1" ht="109.5" customHeight="1" thickBot="1" x14ac:dyDescent="0.75">
      <c r="A107" s="23"/>
      <c r="B107" s="24"/>
      <c r="C107" s="744" t="s">
        <v>108</v>
      </c>
      <c r="D107" s="745"/>
      <c r="E107" s="745"/>
      <c r="F107" s="746"/>
      <c r="G107" s="555" t="s">
        <v>18</v>
      </c>
      <c r="H107" s="556">
        <f>H8+H9+H101+H102+H103+H104+H105+H106</f>
        <v>156897.55600000001</v>
      </c>
      <c r="I107" s="747">
        <f t="shared" ref="I107:T107" si="6">I8+I9+I101+I102+I103+I104+I105+I106</f>
        <v>21422.419781737815</v>
      </c>
      <c r="J107" s="748">
        <f t="shared" si="6"/>
        <v>0</v>
      </c>
      <c r="K107" s="748">
        <f t="shared" si="6"/>
        <v>0</v>
      </c>
      <c r="L107" s="748">
        <f t="shared" si="6"/>
        <v>0</v>
      </c>
      <c r="M107" s="748">
        <f t="shared" si="6"/>
        <v>0</v>
      </c>
      <c r="N107" s="748">
        <f t="shared" si="6"/>
        <v>0</v>
      </c>
      <c r="O107" s="748">
        <f t="shared" si="6"/>
        <v>0</v>
      </c>
      <c r="P107" s="748">
        <f t="shared" si="6"/>
        <v>0</v>
      </c>
      <c r="Q107" s="748">
        <f t="shared" si="6"/>
        <v>0</v>
      </c>
      <c r="R107" s="748">
        <f t="shared" si="6"/>
        <v>0</v>
      </c>
      <c r="S107" s="748">
        <f t="shared" si="6"/>
        <v>0</v>
      </c>
      <c r="T107" s="749">
        <f t="shared" si="6"/>
        <v>0</v>
      </c>
      <c r="U107" s="557"/>
      <c r="V107" s="747">
        <f>V8+V9+V101+V102+V103+V104+V105+V106</f>
        <v>64309.173778352466</v>
      </c>
      <c r="W107" s="748">
        <f t="shared" ref="W107:AG107" si="7">W8+W9+W101+W102+W103+W104+W105+W106</f>
        <v>0</v>
      </c>
      <c r="X107" s="748">
        <f t="shared" si="7"/>
        <v>0</v>
      </c>
      <c r="Y107" s="748">
        <f t="shared" si="7"/>
        <v>0</v>
      </c>
      <c r="Z107" s="748">
        <f t="shared" si="7"/>
        <v>0</v>
      </c>
      <c r="AA107" s="748">
        <f t="shared" si="7"/>
        <v>0</v>
      </c>
      <c r="AB107" s="748">
        <f t="shared" si="7"/>
        <v>0</v>
      </c>
      <c r="AC107" s="748">
        <f t="shared" si="7"/>
        <v>0</v>
      </c>
      <c r="AD107" s="748">
        <f t="shared" si="7"/>
        <v>0</v>
      </c>
      <c r="AE107" s="748">
        <f t="shared" si="7"/>
        <v>0</v>
      </c>
      <c r="AF107" s="748">
        <f t="shared" si="7"/>
        <v>0</v>
      </c>
      <c r="AG107" s="749">
        <f t="shared" si="7"/>
        <v>0</v>
      </c>
      <c r="AH107" s="557"/>
      <c r="AI107" s="747">
        <f t="shared" ref="AI107:AT107" si="8">AI8+AI9+AI101+AI102+AI103+AI104+AI105+AI106</f>
        <v>50969.943807115189</v>
      </c>
      <c r="AJ107" s="748">
        <f t="shared" si="8"/>
        <v>0</v>
      </c>
      <c r="AK107" s="748">
        <f t="shared" si="8"/>
        <v>0</v>
      </c>
      <c r="AL107" s="748">
        <f t="shared" si="8"/>
        <v>0</v>
      </c>
      <c r="AM107" s="748">
        <f t="shared" si="8"/>
        <v>0</v>
      </c>
      <c r="AN107" s="748">
        <f t="shared" si="8"/>
        <v>0</v>
      </c>
      <c r="AO107" s="748">
        <f t="shared" si="8"/>
        <v>0</v>
      </c>
      <c r="AP107" s="748">
        <f t="shared" si="8"/>
        <v>0</v>
      </c>
      <c r="AQ107" s="748">
        <f t="shared" si="8"/>
        <v>0</v>
      </c>
      <c r="AR107" s="748">
        <f t="shared" si="8"/>
        <v>0</v>
      </c>
      <c r="AS107" s="748">
        <f t="shared" si="8"/>
        <v>0</v>
      </c>
      <c r="AT107" s="749">
        <f t="shared" si="8"/>
        <v>0</v>
      </c>
      <c r="AU107" s="558"/>
      <c r="AV107" s="747">
        <f t="shared" ref="AV107:BG107" si="9">AV8+AV9+AV101+AV102+AV103+AV104+AV105+AV106</f>
        <v>20196.017632794534</v>
      </c>
      <c r="AW107" s="748">
        <f t="shared" si="9"/>
        <v>0</v>
      </c>
      <c r="AX107" s="748">
        <f t="shared" si="9"/>
        <v>0</v>
      </c>
      <c r="AY107" s="748">
        <f t="shared" si="9"/>
        <v>0</v>
      </c>
      <c r="AZ107" s="748">
        <f t="shared" si="9"/>
        <v>0</v>
      </c>
      <c r="BA107" s="748">
        <f t="shared" si="9"/>
        <v>0</v>
      </c>
      <c r="BB107" s="748">
        <f t="shared" si="9"/>
        <v>0</v>
      </c>
      <c r="BC107" s="748">
        <f t="shared" si="9"/>
        <v>0</v>
      </c>
      <c r="BD107" s="748">
        <f t="shared" si="9"/>
        <v>0</v>
      </c>
      <c r="BE107" s="748">
        <f t="shared" si="9"/>
        <v>0</v>
      </c>
      <c r="BF107" s="748">
        <f t="shared" si="9"/>
        <v>0</v>
      </c>
      <c r="BG107" s="749">
        <f t="shared" si="9"/>
        <v>0</v>
      </c>
      <c r="BH107" s="559"/>
      <c r="BI107"/>
      <c r="BJ107" s="542">
        <f t="shared" si="5"/>
        <v>1.0000000002037268E-3</v>
      </c>
      <c r="BK107"/>
      <c r="BL107"/>
      <c r="BM107"/>
      <c r="BN107"/>
      <c r="BO107"/>
    </row>
    <row r="108" spans="1:198" s="238" customFormat="1" ht="110.1" customHeight="1" thickBot="1" x14ac:dyDescent="0.75">
      <c r="A108" s="23"/>
      <c r="B108" s="24">
        <v>9</v>
      </c>
      <c r="C108" s="648" t="s">
        <v>120</v>
      </c>
      <c r="D108" s="649"/>
      <c r="E108" s="649"/>
      <c r="F108" s="650"/>
      <c r="G108" s="25" t="s">
        <v>18</v>
      </c>
      <c r="H108" s="25">
        <f>I108+V108+AI108+AV108</f>
        <v>22646.831792585002</v>
      </c>
      <c r="I108" s="651">
        <f>I109+I110</f>
        <v>1466.5026690305292</v>
      </c>
      <c r="J108" s="652"/>
      <c r="K108" s="652"/>
      <c r="L108" s="652"/>
      <c r="M108" s="652"/>
      <c r="N108" s="652"/>
      <c r="O108" s="652"/>
      <c r="P108" s="652"/>
      <c r="Q108" s="652"/>
      <c r="R108" s="652"/>
      <c r="S108" s="652"/>
      <c r="T108" s="653"/>
      <c r="U108" s="551"/>
      <c r="V108" s="651">
        <f>V109+V110</f>
        <v>3879.6109178070956</v>
      </c>
      <c r="W108" s="652"/>
      <c r="X108" s="652"/>
      <c r="Y108" s="652"/>
      <c r="Z108" s="652"/>
      <c r="AA108" s="652"/>
      <c r="AB108" s="652"/>
      <c r="AC108" s="652"/>
      <c r="AD108" s="652"/>
      <c r="AE108" s="652"/>
      <c r="AF108" s="652"/>
      <c r="AG108" s="653"/>
      <c r="AH108" s="551"/>
      <c r="AI108" s="651">
        <f>AI109+AI110+0.005</f>
        <v>3426.0071684907784</v>
      </c>
      <c r="AJ108" s="652"/>
      <c r="AK108" s="652"/>
      <c r="AL108" s="652"/>
      <c r="AM108" s="652"/>
      <c r="AN108" s="652"/>
      <c r="AO108" s="652"/>
      <c r="AP108" s="652"/>
      <c r="AQ108" s="652"/>
      <c r="AR108" s="652"/>
      <c r="AS108" s="652"/>
      <c r="AT108" s="653"/>
      <c r="AU108" s="552"/>
      <c r="AV108" s="651">
        <f>AV109+AV110</f>
        <v>13874.711037256599</v>
      </c>
      <c r="AW108" s="652"/>
      <c r="AX108" s="652"/>
      <c r="AY108" s="652"/>
      <c r="AZ108" s="652"/>
      <c r="BA108" s="652"/>
      <c r="BB108" s="652"/>
      <c r="BC108" s="652"/>
      <c r="BD108" s="652"/>
      <c r="BE108" s="652"/>
      <c r="BF108" s="652"/>
      <c r="BG108" s="653"/>
      <c r="BH108" s="553"/>
      <c r="BI108"/>
      <c r="BJ108" s="542">
        <f t="shared" si="5"/>
        <v>0</v>
      </c>
      <c r="BK108"/>
      <c r="BL108"/>
      <c r="BM108"/>
      <c r="BN108"/>
      <c r="BO108"/>
    </row>
    <row r="109" spans="1:198" s="238" customFormat="1" ht="110.1" hidden="1" customHeight="1" thickBot="1" x14ac:dyDescent="0.75">
      <c r="A109" s="23"/>
      <c r="B109" s="24"/>
      <c r="C109" s="750" t="s">
        <v>121</v>
      </c>
      <c r="D109" s="751"/>
      <c r="E109" s="751"/>
      <c r="F109" s="752"/>
      <c r="G109" s="25" t="s">
        <v>18</v>
      </c>
      <c r="H109" s="25" t="e">
        <f>I109+V109+AI109+AV109+#REF!</f>
        <v>#REF!</v>
      </c>
      <c r="I109" s="651">
        <f>(0.9+0.3)%*(I107-I77)+191.83/5</f>
        <v>289.97119738085377</v>
      </c>
      <c r="J109" s="652"/>
      <c r="K109" s="652"/>
      <c r="L109" s="652"/>
      <c r="M109" s="652"/>
      <c r="N109" s="652"/>
      <c r="O109" s="652"/>
      <c r="P109" s="652"/>
      <c r="Q109" s="652"/>
      <c r="R109" s="652"/>
      <c r="S109" s="652"/>
      <c r="T109" s="653"/>
      <c r="U109" s="551"/>
      <c r="V109" s="651">
        <f>(0.9+0.3)%*V107+191.83/5</f>
        <v>810.07608534022961</v>
      </c>
      <c r="W109" s="652"/>
      <c r="X109" s="652"/>
      <c r="Y109" s="652"/>
      <c r="Z109" s="652"/>
      <c r="AA109" s="652"/>
      <c r="AB109" s="652"/>
      <c r="AC109" s="652"/>
      <c r="AD109" s="652"/>
      <c r="AE109" s="652"/>
      <c r="AF109" s="652"/>
      <c r="AG109" s="653"/>
      <c r="AH109" s="551"/>
      <c r="AI109" s="651">
        <f>(0.9+0.3)%*AI107+191.83/5</f>
        <v>650.00532568538222</v>
      </c>
      <c r="AJ109" s="652"/>
      <c r="AK109" s="652"/>
      <c r="AL109" s="652"/>
      <c r="AM109" s="652"/>
      <c r="AN109" s="652"/>
      <c r="AO109" s="652"/>
      <c r="AP109" s="652"/>
      <c r="AQ109" s="652"/>
      <c r="AR109" s="652"/>
      <c r="AS109" s="652"/>
      <c r="AT109" s="653"/>
      <c r="AU109" s="552"/>
      <c r="AV109" s="651">
        <f>(0.9+0.3)%*AV107+191.83/5+(4.9-0.9)%*(H107-I77)+(191.83/5)</f>
        <v>6576.7736515935349</v>
      </c>
      <c r="AW109" s="652"/>
      <c r="AX109" s="652"/>
      <c r="AY109" s="652"/>
      <c r="AZ109" s="652"/>
      <c r="BA109" s="652"/>
      <c r="BB109" s="652"/>
      <c r="BC109" s="652"/>
      <c r="BD109" s="652"/>
      <c r="BE109" s="652"/>
      <c r="BF109" s="652"/>
      <c r="BG109" s="653"/>
      <c r="BH109" s="553"/>
      <c r="BI109"/>
      <c r="BJ109" s="542" t="e">
        <f t="shared" si="5"/>
        <v>#REF!</v>
      </c>
      <c r="BK109"/>
      <c r="BL109"/>
      <c r="BM109"/>
      <c r="BN109"/>
      <c r="BO109"/>
    </row>
    <row r="110" spans="1:198" s="238" customFormat="1" ht="133.5" hidden="1" customHeight="1" thickBot="1" x14ac:dyDescent="0.75">
      <c r="A110" s="23"/>
      <c r="B110" s="24"/>
      <c r="C110" s="753"/>
      <c r="D110" s="754"/>
      <c r="E110" s="754"/>
      <c r="F110" s="755"/>
      <c r="G110" s="25" t="s">
        <v>18</v>
      </c>
      <c r="H110" s="25" t="e">
        <f>I110+V110+AI110+AV110+#REF!</f>
        <v>#REF!</v>
      </c>
      <c r="I110" s="651">
        <f>0.21%*1.15*I107+2.5%*(I107-I77)+133.3/3+94.64/5+1029.03/4+1400/5</f>
        <v>1176.5314716496755</v>
      </c>
      <c r="J110" s="652"/>
      <c r="K110" s="652"/>
      <c r="L110" s="652"/>
      <c r="M110" s="652"/>
      <c r="N110" s="652"/>
      <c r="O110" s="652"/>
      <c r="P110" s="652"/>
      <c r="Q110" s="652"/>
      <c r="R110" s="652"/>
      <c r="S110" s="652"/>
      <c r="T110" s="653"/>
      <c r="U110" s="551"/>
      <c r="V110" s="651">
        <f>(0.21*1.15+2.5)%*V107+705.88+133.3/3+94.64/5+1029.03/4+1400/5</f>
        <v>3069.5348324668662</v>
      </c>
      <c r="W110" s="652"/>
      <c r="X110" s="652"/>
      <c r="Y110" s="652"/>
      <c r="Z110" s="652"/>
      <c r="AA110" s="652"/>
      <c r="AB110" s="652"/>
      <c r="AC110" s="652"/>
      <c r="AD110" s="652"/>
      <c r="AE110" s="652"/>
      <c r="AF110" s="652"/>
      <c r="AG110" s="653"/>
      <c r="AH110" s="551"/>
      <c r="AI110" s="651">
        <f>(0.21*1.15+2.5)%*AI107+133.3/3+251.58*2/5+94.64/5+1029.03/4+1400/5+2709.62/4</f>
        <v>2775.9968428053962</v>
      </c>
      <c r="AJ110" s="652"/>
      <c r="AK110" s="652"/>
      <c r="AL110" s="652"/>
      <c r="AM110" s="652"/>
      <c r="AN110" s="652"/>
      <c r="AO110" s="652"/>
      <c r="AP110" s="652"/>
      <c r="AQ110" s="652"/>
      <c r="AR110" s="652"/>
      <c r="AS110" s="652"/>
      <c r="AT110" s="653"/>
      <c r="AU110" s="552"/>
      <c r="AV110" s="651">
        <f>(0.21*1.15+2.5)%*AV107+251.58*2/5+94.64/5+1029.03/4+1400/5+(2035-800)+(4391.97-2.5%*(H107-I77))+H107*(1-0.21*1.15)%+2709.62*2/4+(94.64/5+251.58/5+1400/5+(800)+2709.62/4+0.005)</f>
        <v>7297.9373856630627</v>
      </c>
      <c r="AW110" s="652"/>
      <c r="AX110" s="652"/>
      <c r="AY110" s="652"/>
      <c r="AZ110" s="652"/>
      <c r="BA110" s="652"/>
      <c r="BB110" s="652"/>
      <c r="BC110" s="652"/>
      <c r="BD110" s="652"/>
      <c r="BE110" s="652"/>
      <c r="BF110" s="652"/>
      <c r="BG110" s="653"/>
      <c r="BH110" s="553"/>
      <c r="BI110"/>
      <c r="BJ110" s="542" t="e">
        <f t="shared" si="5"/>
        <v>#REF!</v>
      </c>
      <c r="BK110"/>
      <c r="BL110"/>
      <c r="BM110"/>
      <c r="BN110"/>
      <c r="BO110"/>
    </row>
    <row r="111" spans="1:198" s="238" customFormat="1" ht="109.5" customHeight="1" thickBot="1" x14ac:dyDescent="0.75">
      <c r="A111" s="23"/>
      <c r="B111" s="24"/>
      <c r="C111" s="744" t="s">
        <v>109</v>
      </c>
      <c r="D111" s="745"/>
      <c r="E111" s="745"/>
      <c r="F111" s="746"/>
      <c r="G111" s="555" t="s">
        <v>18</v>
      </c>
      <c r="H111" s="556">
        <f t="shared" ref="H111:T111" si="10">H107+H108</f>
        <v>179544.38779258501</v>
      </c>
      <c r="I111" s="747">
        <f t="shared" si="10"/>
        <v>22888.922450768343</v>
      </c>
      <c r="J111" s="748">
        <f t="shared" si="10"/>
        <v>0</v>
      </c>
      <c r="K111" s="748">
        <f t="shared" si="10"/>
        <v>0</v>
      </c>
      <c r="L111" s="748">
        <f t="shared" si="10"/>
        <v>0</v>
      </c>
      <c r="M111" s="748">
        <f t="shared" si="10"/>
        <v>0</v>
      </c>
      <c r="N111" s="748">
        <f t="shared" si="10"/>
        <v>0</v>
      </c>
      <c r="O111" s="748">
        <f t="shared" si="10"/>
        <v>0</v>
      </c>
      <c r="P111" s="748">
        <f t="shared" si="10"/>
        <v>0</v>
      </c>
      <c r="Q111" s="748">
        <f t="shared" si="10"/>
        <v>0</v>
      </c>
      <c r="R111" s="748">
        <f t="shared" si="10"/>
        <v>0</v>
      </c>
      <c r="S111" s="748">
        <f t="shared" si="10"/>
        <v>0</v>
      </c>
      <c r="T111" s="749">
        <f t="shared" si="10"/>
        <v>0</v>
      </c>
      <c r="U111" s="557"/>
      <c r="V111" s="747">
        <f t="shared" ref="V111:AG111" si="11">V107+V108</f>
        <v>68188.784696159564</v>
      </c>
      <c r="W111" s="748">
        <f t="shared" si="11"/>
        <v>0</v>
      </c>
      <c r="X111" s="748">
        <f t="shared" si="11"/>
        <v>0</v>
      </c>
      <c r="Y111" s="748">
        <f t="shared" si="11"/>
        <v>0</v>
      </c>
      <c r="Z111" s="748">
        <f t="shared" si="11"/>
        <v>0</v>
      </c>
      <c r="AA111" s="748">
        <f t="shared" si="11"/>
        <v>0</v>
      </c>
      <c r="AB111" s="748">
        <f t="shared" si="11"/>
        <v>0</v>
      </c>
      <c r="AC111" s="748">
        <f t="shared" si="11"/>
        <v>0</v>
      </c>
      <c r="AD111" s="748">
        <f t="shared" si="11"/>
        <v>0</v>
      </c>
      <c r="AE111" s="748">
        <f t="shared" si="11"/>
        <v>0</v>
      </c>
      <c r="AF111" s="748">
        <f t="shared" si="11"/>
        <v>0</v>
      </c>
      <c r="AG111" s="749">
        <f t="shared" si="11"/>
        <v>0</v>
      </c>
      <c r="AH111" s="557"/>
      <c r="AI111" s="747">
        <f t="shared" ref="AI111:AT111" si="12">AI107+AI108</f>
        <v>54395.950975605971</v>
      </c>
      <c r="AJ111" s="748">
        <f t="shared" si="12"/>
        <v>0</v>
      </c>
      <c r="AK111" s="748">
        <f t="shared" si="12"/>
        <v>0</v>
      </c>
      <c r="AL111" s="748">
        <f t="shared" si="12"/>
        <v>0</v>
      </c>
      <c r="AM111" s="748">
        <f t="shared" si="12"/>
        <v>0</v>
      </c>
      <c r="AN111" s="748">
        <f t="shared" si="12"/>
        <v>0</v>
      </c>
      <c r="AO111" s="748">
        <f t="shared" si="12"/>
        <v>0</v>
      </c>
      <c r="AP111" s="748">
        <f t="shared" si="12"/>
        <v>0</v>
      </c>
      <c r="AQ111" s="748">
        <f t="shared" si="12"/>
        <v>0</v>
      </c>
      <c r="AR111" s="748">
        <f t="shared" si="12"/>
        <v>0</v>
      </c>
      <c r="AS111" s="748">
        <f t="shared" si="12"/>
        <v>0</v>
      </c>
      <c r="AT111" s="749">
        <f t="shared" si="12"/>
        <v>0</v>
      </c>
      <c r="AU111" s="558"/>
      <c r="AV111" s="747">
        <f>AV107+AV108+0.01</f>
        <v>34070.738670051134</v>
      </c>
      <c r="AW111" s="748">
        <f t="shared" ref="AV111:BG111" si="13">AW107+AW108</f>
        <v>0</v>
      </c>
      <c r="AX111" s="748">
        <f t="shared" si="13"/>
        <v>0</v>
      </c>
      <c r="AY111" s="748">
        <f t="shared" si="13"/>
        <v>0</v>
      </c>
      <c r="AZ111" s="748">
        <f t="shared" si="13"/>
        <v>0</v>
      </c>
      <c r="BA111" s="748">
        <f t="shared" si="13"/>
        <v>0</v>
      </c>
      <c r="BB111" s="748">
        <f t="shared" si="13"/>
        <v>0</v>
      </c>
      <c r="BC111" s="748">
        <f t="shared" si="13"/>
        <v>0</v>
      </c>
      <c r="BD111" s="748">
        <f t="shared" si="13"/>
        <v>0</v>
      </c>
      <c r="BE111" s="748">
        <f t="shared" si="13"/>
        <v>0</v>
      </c>
      <c r="BF111" s="748">
        <f t="shared" si="13"/>
        <v>0</v>
      </c>
      <c r="BG111" s="749">
        <f t="shared" si="13"/>
        <v>0</v>
      </c>
      <c r="BH111" s="559"/>
      <c r="BI111"/>
      <c r="BJ111" s="542">
        <f t="shared" si="5"/>
        <v>-9.0000000127474777E-3</v>
      </c>
      <c r="BK111"/>
      <c r="BL111"/>
      <c r="BM111"/>
      <c r="BN111"/>
      <c r="BO111"/>
    </row>
    <row r="112" spans="1:198" s="280" customFormat="1" ht="110.1" customHeight="1" thickBot="1" x14ac:dyDescent="0.75">
      <c r="A112" s="23"/>
      <c r="B112" s="24"/>
      <c r="C112" s="763" t="s">
        <v>110</v>
      </c>
      <c r="D112" s="764"/>
      <c r="E112" s="764"/>
      <c r="F112" s="765"/>
      <c r="G112" s="555" t="s">
        <v>18</v>
      </c>
      <c r="H112" s="556">
        <f>H111*7%</f>
        <v>12568.107145480952</v>
      </c>
      <c r="I112" s="747">
        <f>H112*5%</f>
        <v>628.40535727404767</v>
      </c>
      <c r="J112" s="748">
        <f t="shared" ref="J112:T112" si="14">J111*10%-0.01</f>
        <v>-0.01</v>
      </c>
      <c r="K112" s="748">
        <f t="shared" si="14"/>
        <v>-0.01</v>
      </c>
      <c r="L112" s="748">
        <f t="shared" si="14"/>
        <v>-0.01</v>
      </c>
      <c r="M112" s="748">
        <f t="shared" si="14"/>
        <v>-0.01</v>
      </c>
      <c r="N112" s="748">
        <f t="shared" si="14"/>
        <v>-0.01</v>
      </c>
      <c r="O112" s="748">
        <f t="shared" si="14"/>
        <v>-0.01</v>
      </c>
      <c r="P112" s="748">
        <f t="shared" si="14"/>
        <v>-0.01</v>
      </c>
      <c r="Q112" s="748">
        <f t="shared" si="14"/>
        <v>-0.01</v>
      </c>
      <c r="R112" s="748">
        <f t="shared" si="14"/>
        <v>-0.01</v>
      </c>
      <c r="S112" s="748">
        <f t="shared" si="14"/>
        <v>-0.01</v>
      </c>
      <c r="T112" s="749">
        <f t="shared" si="14"/>
        <v>-0.01</v>
      </c>
      <c r="U112" s="557"/>
      <c r="V112" s="747">
        <f>H112*30%</f>
        <v>3770.4321436442851</v>
      </c>
      <c r="W112" s="748">
        <f t="shared" ref="W112:AG112" si="15">W111*10%-0.01</f>
        <v>-0.01</v>
      </c>
      <c r="X112" s="748">
        <f t="shared" si="15"/>
        <v>-0.01</v>
      </c>
      <c r="Y112" s="748">
        <f t="shared" si="15"/>
        <v>-0.01</v>
      </c>
      <c r="Z112" s="748">
        <f t="shared" si="15"/>
        <v>-0.01</v>
      </c>
      <c r="AA112" s="748">
        <f t="shared" si="15"/>
        <v>-0.01</v>
      </c>
      <c r="AB112" s="748">
        <f t="shared" si="15"/>
        <v>-0.01</v>
      </c>
      <c r="AC112" s="748">
        <f t="shared" si="15"/>
        <v>-0.01</v>
      </c>
      <c r="AD112" s="748">
        <f t="shared" si="15"/>
        <v>-0.01</v>
      </c>
      <c r="AE112" s="748">
        <f t="shared" si="15"/>
        <v>-0.01</v>
      </c>
      <c r="AF112" s="748">
        <f t="shared" si="15"/>
        <v>-0.01</v>
      </c>
      <c r="AG112" s="749">
        <f t="shared" si="15"/>
        <v>-0.01</v>
      </c>
      <c r="AH112" s="557"/>
      <c r="AI112" s="747">
        <f>H112*25%</f>
        <v>3142.0267863702379</v>
      </c>
      <c r="AJ112" s="748">
        <f t="shared" ref="AJ112:AT112" si="16">AJ111*10%-0.01</f>
        <v>-0.01</v>
      </c>
      <c r="AK112" s="748">
        <f t="shared" si="16"/>
        <v>-0.01</v>
      </c>
      <c r="AL112" s="748">
        <f t="shared" si="16"/>
        <v>-0.01</v>
      </c>
      <c r="AM112" s="748">
        <f t="shared" si="16"/>
        <v>-0.01</v>
      </c>
      <c r="AN112" s="748">
        <f t="shared" si="16"/>
        <v>-0.01</v>
      </c>
      <c r="AO112" s="748">
        <f t="shared" si="16"/>
        <v>-0.01</v>
      </c>
      <c r="AP112" s="748">
        <f t="shared" si="16"/>
        <v>-0.01</v>
      </c>
      <c r="AQ112" s="748">
        <f t="shared" si="16"/>
        <v>-0.01</v>
      </c>
      <c r="AR112" s="748">
        <f t="shared" si="16"/>
        <v>-0.01</v>
      </c>
      <c r="AS112" s="748">
        <f t="shared" si="16"/>
        <v>-0.01</v>
      </c>
      <c r="AT112" s="749">
        <f t="shared" si="16"/>
        <v>-0.01</v>
      </c>
      <c r="AU112" s="558"/>
      <c r="AV112" s="747">
        <f>H112*40%</f>
        <v>5027.2428581923814</v>
      </c>
      <c r="AW112" s="748">
        <f t="shared" ref="AW112:BG112" si="17">AW111*10%-0.01</f>
        <v>-0.01</v>
      </c>
      <c r="AX112" s="748">
        <f t="shared" si="17"/>
        <v>-0.01</v>
      </c>
      <c r="AY112" s="748">
        <f t="shared" si="17"/>
        <v>-0.01</v>
      </c>
      <c r="AZ112" s="748">
        <f t="shared" si="17"/>
        <v>-0.01</v>
      </c>
      <c r="BA112" s="748">
        <f t="shared" si="17"/>
        <v>-0.01</v>
      </c>
      <c r="BB112" s="748">
        <f t="shared" si="17"/>
        <v>-0.01</v>
      </c>
      <c r="BC112" s="748">
        <f t="shared" si="17"/>
        <v>-0.01</v>
      </c>
      <c r="BD112" s="748">
        <f t="shared" si="17"/>
        <v>-0.01</v>
      </c>
      <c r="BE112" s="748">
        <f t="shared" si="17"/>
        <v>-0.01</v>
      </c>
      <c r="BF112" s="748">
        <f t="shared" si="17"/>
        <v>-0.01</v>
      </c>
      <c r="BG112" s="749">
        <f t="shared" si="17"/>
        <v>-0.01</v>
      </c>
      <c r="BH112" s="559"/>
      <c r="BI112"/>
      <c r="BJ112" s="542">
        <f t="shared" si="5"/>
        <v>0</v>
      </c>
      <c r="BK112"/>
      <c r="BL112"/>
      <c r="BM112"/>
      <c r="BN112"/>
      <c r="BO112"/>
    </row>
    <row r="113" spans="1:67" s="325" customFormat="1" ht="110.1" customHeight="1" thickBot="1" x14ac:dyDescent="0.65">
      <c r="A113" s="23"/>
      <c r="B113" s="24"/>
      <c r="C113" s="757" t="s">
        <v>111</v>
      </c>
      <c r="D113" s="758"/>
      <c r="E113" s="758"/>
      <c r="F113" s="759"/>
      <c r="G113" s="560" t="s">
        <v>18</v>
      </c>
      <c r="H113" s="560">
        <f>H111+H112+0.01</f>
        <v>192112.50493806598</v>
      </c>
      <c r="I113" s="760">
        <f>I111+I112+0.005</f>
        <v>23517.332808042393</v>
      </c>
      <c r="J113" s="761">
        <f t="shared" ref="J113:BG113" si="18">J111+J112</f>
        <v>-0.01</v>
      </c>
      <c r="K113" s="761">
        <f t="shared" si="18"/>
        <v>-0.01</v>
      </c>
      <c r="L113" s="761">
        <f t="shared" si="18"/>
        <v>-0.01</v>
      </c>
      <c r="M113" s="761">
        <f t="shared" si="18"/>
        <v>-0.01</v>
      </c>
      <c r="N113" s="761">
        <f t="shared" si="18"/>
        <v>-0.01</v>
      </c>
      <c r="O113" s="761">
        <f t="shared" si="18"/>
        <v>-0.01</v>
      </c>
      <c r="P113" s="761">
        <f t="shared" si="18"/>
        <v>-0.01</v>
      </c>
      <c r="Q113" s="761">
        <f t="shared" si="18"/>
        <v>-0.01</v>
      </c>
      <c r="R113" s="761">
        <f t="shared" si="18"/>
        <v>-0.01</v>
      </c>
      <c r="S113" s="761">
        <f t="shared" si="18"/>
        <v>-0.01</v>
      </c>
      <c r="T113" s="762">
        <f t="shared" si="18"/>
        <v>-0.01</v>
      </c>
      <c r="U113" s="561"/>
      <c r="V113" s="760">
        <f>V111+V112-0.005</f>
        <v>71959.211839803844</v>
      </c>
      <c r="W113" s="761">
        <f t="shared" si="18"/>
        <v>-0.01</v>
      </c>
      <c r="X113" s="761">
        <f t="shared" si="18"/>
        <v>-0.01</v>
      </c>
      <c r="Y113" s="761">
        <f t="shared" si="18"/>
        <v>-0.01</v>
      </c>
      <c r="Z113" s="761">
        <f t="shared" si="18"/>
        <v>-0.01</v>
      </c>
      <c r="AA113" s="761">
        <f t="shared" si="18"/>
        <v>-0.01</v>
      </c>
      <c r="AB113" s="761">
        <f t="shared" si="18"/>
        <v>-0.01</v>
      </c>
      <c r="AC113" s="761">
        <f t="shared" si="18"/>
        <v>-0.01</v>
      </c>
      <c r="AD113" s="761">
        <f t="shared" si="18"/>
        <v>-0.01</v>
      </c>
      <c r="AE113" s="761">
        <f t="shared" si="18"/>
        <v>-0.01</v>
      </c>
      <c r="AF113" s="761">
        <f t="shared" si="18"/>
        <v>-0.01</v>
      </c>
      <c r="AG113" s="762">
        <f t="shared" si="18"/>
        <v>-0.01</v>
      </c>
      <c r="AH113" s="561"/>
      <c r="AI113" s="760">
        <f t="shared" si="18"/>
        <v>57537.97776197621</v>
      </c>
      <c r="AJ113" s="761">
        <f t="shared" si="18"/>
        <v>-0.01</v>
      </c>
      <c r="AK113" s="761">
        <f t="shared" si="18"/>
        <v>-0.01</v>
      </c>
      <c r="AL113" s="761">
        <f t="shared" si="18"/>
        <v>-0.01</v>
      </c>
      <c r="AM113" s="761">
        <f t="shared" si="18"/>
        <v>-0.01</v>
      </c>
      <c r="AN113" s="761">
        <f t="shared" si="18"/>
        <v>-0.01</v>
      </c>
      <c r="AO113" s="761">
        <f t="shared" si="18"/>
        <v>-0.01</v>
      </c>
      <c r="AP113" s="761">
        <f t="shared" si="18"/>
        <v>-0.01</v>
      </c>
      <c r="AQ113" s="761">
        <f t="shared" si="18"/>
        <v>-0.01</v>
      </c>
      <c r="AR113" s="761">
        <f t="shared" si="18"/>
        <v>-0.01</v>
      </c>
      <c r="AS113" s="761">
        <f t="shared" si="18"/>
        <v>-0.01</v>
      </c>
      <c r="AT113" s="762">
        <f t="shared" si="18"/>
        <v>-0.01</v>
      </c>
      <c r="AU113" s="562"/>
      <c r="AV113" s="760">
        <f t="shared" si="18"/>
        <v>39097.981528243516</v>
      </c>
      <c r="AW113" s="761">
        <f t="shared" si="18"/>
        <v>-0.01</v>
      </c>
      <c r="AX113" s="761">
        <f t="shared" si="18"/>
        <v>-0.01</v>
      </c>
      <c r="AY113" s="761">
        <f t="shared" si="18"/>
        <v>-0.01</v>
      </c>
      <c r="AZ113" s="761">
        <f t="shared" si="18"/>
        <v>-0.01</v>
      </c>
      <c r="BA113" s="761">
        <f t="shared" si="18"/>
        <v>-0.01</v>
      </c>
      <c r="BB113" s="761">
        <f t="shared" si="18"/>
        <v>-0.01</v>
      </c>
      <c r="BC113" s="761">
        <f t="shared" si="18"/>
        <v>-0.01</v>
      </c>
      <c r="BD113" s="761">
        <f t="shared" si="18"/>
        <v>-0.01</v>
      </c>
      <c r="BE113" s="761">
        <f t="shared" si="18"/>
        <v>-0.01</v>
      </c>
      <c r="BF113" s="761">
        <f t="shared" si="18"/>
        <v>-0.01</v>
      </c>
      <c r="BG113" s="762">
        <f t="shared" si="18"/>
        <v>-0.01</v>
      </c>
      <c r="BH113" s="563"/>
      <c r="BI113"/>
      <c r="BJ113" s="542">
        <f t="shared" si="5"/>
        <v>1.0000000256695785E-3</v>
      </c>
      <c r="BK113"/>
      <c r="BL113"/>
      <c r="BM113"/>
      <c r="BN113"/>
      <c r="BO113"/>
    </row>
    <row r="114" spans="1:67" s="330" customFormat="1" ht="84.95" customHeight="1" x14ac:dyDescent="0.55000000000000004">
      <c r="A114" s="564"/>
      <c r="B114" s="564"/>
      <c r="C114" s="565"/>
      <c r="D114" s="565"/>
      <c r="E114" s="566"/>
      <c r="F114" s="566"/>
      <c r="G114" s="567"/>
      <c r="H114" s="567"/>
      <c r="I114" s="568"/>
      <c r="J114" s="568"/>
      <c r="K114" s="568"/>
      <c r="L114" s="568"/>
      <c r="M114" s="568"/>
      <c r="N114" s="568"/>
      <c r="O114" s="568"/>
      <c r="P114" s="568"/>
      <c r="Q114" s="568"/>
      <c r="R114" s="568"/>
      <c r="S114" s="568"/>
      <c r="T114" s="568"/>
      <c r="U114" s="569"/>
      <c r="V114" s="568"/>
      <c r="W114" s="568"/>
      <c r="X114" s="568"/>
      <c r="Y114" s="568"/>
      <c r="Z114" s="568"/>
      <c r="AA114" s="568"/>
      <c r="AB114" s="568"/>
      <c r="AC114" s="568"/>
      <c r="AD114" s="568"/>
      <c r="AE114" s="568"/>
      <c r="AF114" s="568"/>
      <c r="AG114" s="568"/>
      <c r="AH114" s="569"/>
      <c r="AI114" s="568"/>
      <c r="AJ114" s="568"/>
      <c r="AK114" s="568"/>
      <c r="AL114" s="568"/>
      <c r="AM114" s="568"/>
      <c r="AN114" s="568"/>
      <c r="AO114" s="568"/>
      <c r="AP114" s="568"/>
      <c r="AQ114" s="568"/>
      <c r="AR114" s="568"/>
      <c r="AS114" s="568"/>
      <c r="AT114" s="568"/>
      <c r="AU114" s="570"/>
      <c r="AV114" s="568"/>
      <c r="AW114" s="568"/>
      <c r="AX114" s="568"/>
      <c r="AY114" s="568"/>
      <c r="AZ114" s="568"/>
      <c r="BA114" s="568"/>
      <c r="BB114" s="568"/>
      <c r="BC114" s="568"/>
      <c r="BD114" s="568"/>
      <c r="BE114" s="568"/>
      <c r="BF114" s="568"/>
      <c r="BG114" s="568"/>
      <c r="BH114" s="569"/>
      <c r="BI114"/>
      <c r="BJ114"/>
      <c r="BK114"/>
      <c r="BL114"/>
      <c r="BM114"/>
      <c r="BN114"/>
      <c r="BO114"/>
    </row>
    <row r="115" spans="1:67" s="330" customFormat="1" ht="84.95" customHeight="1" x14ac:dyDescent="0.55000000000000004">
      <c r="A115" s="564"/>
      <c r="B115" s="571"/>
      <c r="C115" s="571"/>
      <c r="D115" s="571"/>
      <c r="E115" s="571"/>
      <c r="F115" s="571"/>
      <c r="G115" s="571"/>
      <c r="H115" s="571"/>
      <c r="I115" s="568"/>
      <c r="J115" s="568"/>
      <c r="K115" s="568"/>
      <c r="L115" s="568"/>
      <c r="M115" s="568"/>
      <c r="N115" s="568"/>
      <c r="O115" s="568"/>
      <c r="P115" s="568"/>
      <c r="Q115" s="568"/>
      <c r="R115" s="568"/>
      <c r="S115" s="568"/>
      <c r="T115" s="568"/>
      <c r="U115" s="569"/>
      <c r="V115" s="568"/>
      <c r="W115" s="568"/>
      <c r="X115" s="568"/>
      <c r="Y115" s="568"/>
      <c r="Z115" s="568"/>
      <c r="AA115" s="568"/>
      <c r="AB115" s="568"/>
      <c r="AC115" s="568"/>
      <c r="AD115" s="568"/>
      <c r="AE115" s="568"/>
      <c r="AF115" s="568"/>
      <c r="AG115" s="568"/>
      <c r="AH115" s="569"/>
      <c r="AI115" s="568"/>
      <c r="AJ115" s="568"/>
      <c r="AK115" s="568"/>
      <c r="AL115" s="568"/>
      <c r="AM115" s="568"/>
      <c r="AN115" s="568"/>
      <c r="AO115" s="568"/>
      <c r="AP115" s="568"/>
      <c r="AQ115" s="568"/>
      <c r="AR115" s="568"/>
      <c r="AS115" s="568"/>
      <c r="AT115" s="568"/>
      <c r="AU115" s="570"/>
      <c r="AV115" s="568"/>
      <c r="AW115" s="568"/>
      <c r="AX115" s="568"/>
      <c r="AY115" s="568"/>
      <c r="AZ115" s="568"/>
      <c r="BA115" s="568"/>
      <c r="BB115" s="568"/>
      <c r="BC115" s="568"/>
      <c r="BD115" s="568"/>
      <c r="BE115" s="568"/>
      <c r="BF115" s="568"/>
      <c r="BG115" s="568"/>
      <c r="BH115" s="569"/>
      <c r="BI115"/>
      <c r="BJ115"/>
      <c r="BK115"/>
      <c r="BL115"/>
      <c r="BM115"/>
      <c r="BN115"/>
      <c r="BO115"/>
    </row>
    <row r="116" spans="1:67" s="330" customFormat="1" ht="99" customHeight="1" x14ac:dyDescent="0.55000000000000004">
      <c r="A116" s="564"/>
      <c r="B116" s="564"/>
      <c r="C116" s="572"/>
      <c r="D116" s="572"/>
      <c r="E116" s="569"/>
      <c r="F116" s="569"/>
      <c r="G116" s="573"/>
      <c r="H116" s="568"/>
      <c r="I116" s="568"/>
      <c r="J116" s="568"/>
      <c r="K116" s="568"/>
      <c r="L116" s="568"/>
      <c r="M116" s="568"/>
      <c r="N116" s="568"/>
      <c r="O116" s="568"/>
      <c r="P116" s="568"/>
      <c r="Q116" s="568"/>
      <c r="R116" s="568"/>
      <c r="S116" s="568"/>
      <c r="T116" s="568"/>
      <c r="U116" s="569"/>
      <c r="V116" s="568"/>
      <c r="W116" s="568"/>
      <c r="X116" s="568"/>
      <c r="Y116" s="568"/>
      <c r="Z116" s="568"/>
      <c r="AA116" s="568"/>
      <c r="AB116" s="568"/>
      <c r="AC116" s="568"/>
      <c r="AD116" s="568"/>
      <c r="AE116" s="568"/>
      <c r="AF116" s="568"/>
      <c r="AG116" s="568"/>
      <c r="AH116" s="569"/>
      <c r="AI116" s="568"/>
      <c r="AJ116" s="568"/>
      <c r="AK116" s="568"/>
      <c r="AL116" s="568"/>
      <c r="AM116" s="568"/>
      <c r="AN116" s="568"/>
      <c r="AO116" s="568"/>
      <c r="AP116" s="568"/>
      <c r="AQ116" s="568"/>
      <c r="AR116" s="568"/>
      <c r="AS116" s="568"/>
      <c r="AT116" s="568"/>
      <c r="AU116" s="570"/>
      <c r="AV116" s="568"/>
      <c r="AW116" s="568"/>
      <c r="AX116" s="568"/>
      <c r="AY116" s="568"/>
      <c r="AZ116" s="568"/>
      <c r="BA116" s="568"/>
      <c r="BB116" s="568"/>
      <c r="BC116" s="568"/>
      <c r="BD116" s="568"/>
      <c r="BE116" s="568"/>
      <c r="BF116" s="568"/>
      <c r="BG116" s="568"/>
      <c r="BH116" s="569"/>
      <c r="BI116"/>
      <c r="BJ116"/>
      <c r="BK116"/>
      <c r="BL116"/>
      <c r="BM116"/>
      <c r="BN116"/>
      <c r="BO116"/>
    </row>
    <row r="117" spans="1:67" ht="123.75" customHeight="1" x14ac:dyDescent="0.55000000000000004">
      <c r="A117" s="574"/>
      <c r="B117" s="574"/>
      <c r="C117" s="574"/>
      <c r="D117" s="574"/>
      <c r="G117" s="576" t="s">
        <v>112</v>
      </c>
      <c r="H117" s="576"/>
      <c r="I117" s="574"/>
      <c r="J117" s="574"/>
      <c r="K117" s="574"/>
      <c r="L117" s="574"/>
      <c r="M117" s="574"/>
      <c r="N117" s="574"/>
      <c r="O117" s="574"/>
      <c r="P117" s="574"/>
      <c r="Q117" s="574"/>
      <c r="R117" s="574"/>
      <c r="S117" s="574"/>
      <c r="V117" s="574"/>
      <c r="W117" s="574"/>
      <c r="X117" s="574"/>
      <c r="Y117" s="574"/>
      <c r="Z117" s="574"/>
      <c r="AA117" s="574"/>
      <c r="AB117" s="574"/>
      <c r="AH117" s="576" t="s">
        <v>113</v>
      </c>
      <c r="AL117" s="574"/>
      <c r="AM117" s="574"/>
      <c r="AN117" s="574"/>
      <c r="AO117" s="574"/>
      <c r="AP117" s="574"/>
      <c r="AQ117" s="574"/>
      <c r="AR117" s="574"/>
      <c r="AS117" s="574"/>
      <c r="AT117" s="574"/>
      <c r="AU117" s="574"/>
      <c r="AW117" s="574"/>
      <c r="AX117" s="574"/>
      <c r="AY117" s="574"/>
      <c r="AZ117" s="574"/>
      <c r="BA117" s="574"/>
      <c r="BB117" s="574"/>
      <c r="BC117" s="574"/>
      <c r="BD117" s="574"/>
      <c r="BE117" s="578"/>
      <c r="BF117" s="578"/>
      <c r="BG117" s="578"/>
      <c r="BH117" s="579"/>
    </row>
    <row r="118" spans="1:67" ht="69.75" customHeight="1" x14ac:dyDescent="0.55000000000000004">
      <c r="A118" s="574"/>
      <c r="B118" s="574"/>
      <c r="C118" s="574"/>
      <c r="D118" s="574"/>
      <c r="G118" s="619" t="s">
        <v>122</v>
      </c>
      <c r="H118" s="576"/>
      <c r="I118" s="574"/>
      <c r="J118" s="574"/>
      <c r="K118" s="574"/>
      <c r="L118" s="574"/>
      <c r="M118" s="574"/>
      <c r="N118" s="574"/>
      <c r="O118" s="574"/>
      <c r="P118" s="574"/>
      <c r="Q118" s="574"/>
      <c r="R118" s="574"/>
      <c r="S118" s="574"/>
      <c r="V118" s="574"/>
      <c r="W118" s="574"/>
      <c r="X118" s="574"/>
      <c r="Y118" s="574"/>
      <c r="Z118" s="574"/>
      <c r="AA118" s="574"/>
      <c r="AB118" s="574"/>
      <c r="AH118" s="619" t="s">
        <v>122</v>
      </c>
      <c r="AL118" s="574"/>
      <c r="AM118" s="574"/>
      <c r="AN118" s="574"/>
      <c r="AO118" s="574"/>
      <c r="AP118" s="574"/>
      <c r="AQ118" s="574"/>
      <c r="AR118" s="574"/>
      <c r="AS118" s="574"/>
      <c r="AT118" s="574"/>
      <c r="AU118" s="574"/>
      <c r="AW118" s="574"/>
      <c r="AX118" s="574"/>
      <c r="AY118" s="574"/>
      <c r="AZ118" s="574"/>
      <c r="BA118" s="574"/>
      <c r="BB118" s="574"/>
      <c r="BC118" s="574"/>
      <c r="BD118" s="574"/>
      <c r="BE118" s="578"/>
      <c r="BF118" s="578"/>
      <c r="BG118" s="578"/>
      <c r="BH118" s="579"/>
    </row>
    <row r="119" spans="1:67" ht="69.75" customHeight="1" x14ac:dyDescent="0.55000000000000004">
      <c r="A119" s="574"/>
      <c r="B119" s="574"/>
      <c r="C119" s="574"/>
      <c r="D119" s="574"/>
      <c r="G119" s="619" t="s">
        <v>123</v>
      </c>
      <c r="H119" s="576"/>
      <c r="I119" s="574"/>
      <c r="J119" s="574"/>
      <c r="K119" s="574"/>
      <c r="L119" s="574"/>
      <c r="M119" s="574"/>
      <c r="N119" s="574"/>
      <c r="O119" s="574"/>
      <c r="P119" s="574"/>
      <c r="Q119" s="574"/>
      <c r="R119" s="574"/>
      <c r="S119" s="574"/>
      <c r="V119" s="574"/>
      <c r="W119" s="574"/>
      <c r="X119" s="574"/>
      <c r="Y119" s="574"/>
      <c r="Z119" s="574"/>
      <c r="AA119" s="574"/>
      <c r="AB119" s="574"/>
      <c r="AH119" s="619" t="s">
        <v>125</v>
      </c>
      <c r="AL119" s="574"/>
      <c r="AM119" s="574"/>
      <c r="AN119" s="574"/>
      <c r="AO119" s="574"/>
      <c r="AP119" s="574"/>
      <c r="AQ119" s="574"/>
      <c r="AR119" s="574"/>
      <c r="AS119" s="574"/>
      <c r="AT119" s="574"/>
      <c r="AU119" s="574"/>
      <c r="AW119" s="574"/>
      <c r="AX119" s="574"/>
      <c r="AY119" s="574"/>
      <c r="AZ119" s="574"/>
      <c r="BA119" s="574"/>
      <c r="BB119" s="574"/>
      <c r="BC119" s="574"/>
      <c r="BD119" s="574"/>
      <c r="BE119" s="578"/>
      <c r="BF119" s="578"/>
      <c r="BG119" s="578"/>
      <c r="BH119" s="579"/>
    </row>
    <row r="120" spans="1:67" ht="51.75" customHeight="1" x14ac:dyDescent="0.55000000000000004">
      <c r="A120" s="574"/>
      <c r="B120" s="574"/>
      <c r="C120" s="574"/>
      <c r="D120" s="574"/>
      <c r="G120" s="582"/>
      <c r="H120" s="576"/>
      <c r="I120" s="574"/>
      <c r="J120" s="574"/>
      <c r="K120" s="574"/>
      <c r="L120" s="574"/>
      <c r="M120" s="574"/>
      <c r="N120" s="574"/>
      <c r="O120" s="574"/>
      <c r="P120" s="574"/>
      <c r="Q120" s="574"/>
      <c r="R120" s="574"/>
      <c r="S120" s="574"/>
      <c r="V120" s="574"/>
      <c r="W120" s="574"/>
      <c r="X120" s="574"/>
      <c r="Y120" s="574"/>
      <c r="Z120" s="574"/>
      <c r="AA120" s="574"/>
      <c r="AB120" s="574"/>
      <c r="AH120" s="576"/>
      <c r="AL120" s="574"/>
      <c r="AM120" s="574"/>
      <c r="AN120" s="574"/>
      <c r="AO120" s="574"/>
      <c r="AP120" s="574"/>
      <c r="AQ120" s="574"/>
      <c r="AR120" s="574"/>
      <c r="AS120" s="574"/>
      <c r="AT120" s="574"/>
      <c r="AU120" s="574"/>
      <c r="AW120" s="574"/>
      <c r="AX120" s="574"/>
      <c r="AY120" s="574"/>
      <c r="AZ120" s="574"/>
      <c r="BA120" s="574"/>
      <c r="BB120" s="574"/>
      <c r="BC120" s="574"/>
      <c r="BD120" s="574"/>
      <c r="BE120" s="578"/>
      <c r="BF120" s="578"/>
      <c r="BG120" s="578"/>
      <c r="BH120" s="579"/>
    </row>
    <row r="121" spans="1:67" ht="36" customHeight="1" x14ac:dyDescent="0.55000000000000004">
      <c r="A121" s="10"/>
      <c r="B121" s="10"/>
      <c r="C121" s="10"/>
      <c r="D121" s="10"/>
      <c r="G121" s="582"/>
      <c r="H121" s="582"/>
      <c r="I121" s="583"/>
      <c r="J121" s="583"/>
      <c r="K121" s="583"/>
      <c r="L121" s="583"/>
      <c r="M121" s="583"/>
      <c r="N121" s="583"/>
      <c r="O121" s="583"/>
      <c r="P121" s="583"/>
      <c r="Q121" s="583"/>
      <c r="R121" s="583"/>
      <c r="S121" s="581"/>
      <c r="V121" s="583"/>
      <c r="W121" s="583"/>
      <c r="X121" s="583"/>
      <c r="Y121" s="583"/>
      <c r="Z121" s="583"/>
      <c r="AA121" s="583"/>
      <c r="AB121" s="583"/>
      <c r="AH121" s="10"/>
      <c r="AL121" s="583"/>
      <c r="AM121" s="583"/>
      <c r="AN121" s="583"/>
      <c r="AO121" s="583"/>
      <c r="AP121" s="583"/>
      <c r="AQ121" s="583"/>
      <c r="AR121" s="583"/>
      <c r="AS121" s="583"/>
      <c r="AT121" s="583"/>
      <c r="AU121" s="584"/>
      <c r="AW121" s="10"/>
      <c r="AX121" s="583"/>
      <c r="AY121" s="583"/>
      <c r="AZ121" s="583"/>
      <c r="BA121" s="581"/>
      <c r="BB121" s="583"/>
      <c r="BC121" s="583"/>
      <c r="BD121" s="583"/>
      <c r="BE121" s="583"/>
      <c r="BF121" s="583"/>
      <c r="BG121" s="583"/>
      <c r="BH121" s="584"/>
    </row>
    <row r="122" spans="1:67" ht="86.25" customHeight="1" x14ac:dyDescent="0.55000000000000004">
      <c r="A122" s="10"/>
      <c r="B122" s="10"/>
      <c r="C122" s="10"/>
      <c r="D122" s="10"/>
      <c r="G122" s="582" t="s">
        <v>114</v>
      </c>
      <c r="H122" s="582"/>
      <c r="I122" s="583"/>
      <c r="J122" s="583"/>
      <c r="K122" s="576" t="s">
        <v>124</v>
      </c>
      <c r="L122" s="583"/>
      <c r="M122" s="583"/>
      <c r="N122" s="583"/>
      <c r="P122" s="583"/>
      <c r="Q122" s="583"/>
      <c r="R122" s="583"/>
      <c r="S122" s="581"/>
      <c r="V122" s="585"/>
      <c r="W122" s="585"/>
      <c r="X122" s="585"/>
      <c r="Y122" s="585"/>
      <c r="Z122" s="585"/>
      <c r="AA122" s="585"/>
      <c r="AB122" s="585"/>
      <c r="AH122" s="582" t="s">
        <v>114</v>
      </c>
      <c r="AL122" s="585"/>
      <c r="AM122" s="585"/>
      <c r="AN122" s="585"/>
      <c r="AO122" s="585"/>
      <c r="AP122" s="576" t="s">
        <v>126</v>
      </c>
      <c r="AQ122" s="585"/>
      <c r="AR122" s="585"/>
      <c r="AS122" s="585"/>
      <c r="AT122" s="585"/>
      <c r="AU122" s="584"/>
      <c r="AW122" s="582"/>
      <c r="AX122" s="583"/>
      <c r="AY122" s="583"/>
      <c r="AZ122" s="583"/>
      <c r="BA122" s="583"/>
      <c r="BB122" s="583"/>
      <c r="BC122" s="583"/>
      <c r="BE122" s="585"/>
      <c r="BF122" s="585"/>
      <c r="BG122" s="585"/>
      <c r="BH122" s="584"/>
    </row>
    <row r="123" spans="1:67" ht="19.5" customHeight="1" x14ac:dyDescent="0.25">
      <c r="A123" s="605"/>
      <c r="B123" s="605"/>
      <c r="C123" s="605"/>
      <c r="D123" s="586"/>
      <c r="E123" s="586"/>
      <c r="F123" s="586"/>
      <c r="G123" s="568"/>
      <c r="H123" s="568"/>
      <c r="I123" s="587"/>
      <c r="J123" s="587"/>
      <c r="K123" s="587"/>
      <c r="L123" s="587"/>
      <c r="M123" s="587"/>
      <c r="N123" s="587"/>
      <c r="O123" s="587"/>
      <c r="P123" s="587"/>
      <c r="Q123" s="587"/>
      <c r="R123" s="587"/>
      <c r="S123" s="587"/>
      <c r="T123" s="587"/>
      <c r="U123" s="588"/>
      <c r="V123" s="587"/>
      <c r="W123" s="587"/>
      <c r="X123" s="587"/>
      <c r="Y123" s="587"/>
      <c r="Z123" s="587"/>
      <c r="AA123" s="587"/>
      <c r="AB123" s="587"/>
      <c r="AC123" s="587"/>
      <c r="AD123" s="587"/>
      <c r="AE123" s="587"/>
      <c r="AF123" s="587"/>
      <c r="AG123" s="587"/>
      <c r="AH123" s="588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89"/>
      <c r="AS123" s="589"/>
      <c r="AT123" s="589"/>
      <c r="AU123" s="590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  <c r="BG123" s="589"/>
      <c r="BH123" s="590"/>
    </row>
    <row r="124" spans="1:67" ht="34.5" x14ac:dyDescent="0.25">
      <c r="A124" s="605"/>
      <c r="B124" s="605"/>
      <c r="C124" s="605"/>
      <c r="D124" s="605"/>
      <c r="E124" s="591"/>
      <c r="F124" s="591"/>
      <c r="G124" s="568"/>
      <c r="H124" s="568"/>
      <c r="I124" s="589"/>
      <c r="J124" s="589"/>
      <c r="K124" s="589"/>
      <c r="L124" s="589"/>
      <c r="M124" s="589"/>
      <c r="N124" s="589"/>
      <c r="O124" s="589"/>
      <c r="P124" s="589"/>
      <c r="Q124" s="589"/>
      <c r="R124" s="589"/>
      <c r="S124" s="589"/>
      <c r="T124" s="589"/>
      <c r="U124" s="588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8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89"/>
      <c r="AS124" s="589"/>
      <c r="AT124" s="589"/>
      <c r="AU124" s="590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  <c r="BG124" s="589"/>
      <c r="BH124" s="590"/>
    </row>
    <row r="125" spans="1:67" ht="34.5" x14ac:dyDescent="0.25">
      <c r="A125" s="605"/>
      <c r="B125" s="605"/>
      <c r="C125" s="605"/>
      <c r="D125" s="605"/>
      <c r="E125" s="592"/>
      <c r="F125" s="592"/>
      <c r="G125" s="593"/>
      <c r="H125" s="593"/>
      <c r="I125" s="594"/>
      <c r="J125" s="594"/>
      <c r="K125" s="594"/>
      <c r="L125" s="594"/>
      <c r="M125" s="594"/>
      <c r="N125" s="594"/>
      <c r="O125" s="594"/>
      <c r="P125" s="594"/>
      <c r="Q125" s="594"/>
      <c r="R125" s="594"/>
      <c r="S125" s="594"/>
      <c r="T125" s="594"/>
      <c r="U125" s="593"/>
      <c r="V125" s="594"/>
      <c r="W125" s="594"/>
      <c r="X125" s="594"/>
      <c r="Y125" s="594"/>
      <c r="Z125" s="595"/>
      <c r="AA125" s="595"/>
      <c r="AB125" s="595"/>
      <c r="AC125" s="595"/>
      <c r="AD125" s="595"/>
      <c r="AE125" s="595"/>
      <c r="AF125" s="595"/>
      <c r="AG125" s="595"/>
      <c r="AH125" s="593"/>
      <c r="AI125" s="595"/>
      <c r="AJ125" s="595"/>
      <c r="AK125" s="595"/>
      <c r="AL125" s="595"/>
      <c r="AM125" s="595"/>
      <c r="AN125" s="595"/>
      <c r="AO125" s="595"/>
      <c r="AP125" s="595"/>
      <c r="AQ125" s="595"/>
      <c r="AR125" s="595"/>
      <c r="AS125" s="595"/>
      <c r="AT125" s="595"/>
      <c r="AU125" s="596"/>
      <c r="AV125" s="595"/>
      <c r="AW125" s="595"/>
      <c r="AX125" s="595"/>
      <c r="AY125" s="595"/>
      <c r="AZ125" s="595"/>
      <c r="BA125" s="595"/>
      <c r="BB125" s="595"/>
      <c r="BC125" s="595"/>
      <c r="BD125" s="595"/>
      <c r="BE125" s="595"/>
      <c r="BF125" s="595"/>
      <c r="BG125" s="595"/>
      <c r="BH125" s="596"/>
    </row>
    <row r="126" spans="1:67" ht="34.5" x14ac:dyDescent="0.25">
      <c r="A126" s="605"/>
      <c r="B126" s="605"/>
      <c r="C126" s="605"/>
      <c r="D126" s="605"/>
      <c r="E126" s="592"/>
      <c r="F126" s="592"/>
      <c r="G126" s="593"/>
      <c r="H126" s="593"/>
      <c r="I126" s="594"/>
      <c r="J126" s="594"/>
      <c r="K126" s="594"/>
      <c r="L126" s="594"/>
      <c r="M126" s="594"/>
      <c r="N126" s="594"/>
      <c r="O126" s="594"/>
      <c r="P126" s="594"/>
      <c r="Q126" s="594"/>
      <c r="R126" s="594"/>
      <c r="S126" s="594"/>
      <c r="T126" s="594"/>
      <c r="U126" s="593"/>
      <c r="V126" s="594"/>
      <c r="W126" s="594"/>
      <c r="X126" s="594"/>
      <c r="Y126" s="594"/>
      <c r="Z126" s="594"/>
      <c r="AA126" s="594"/>
      <c r="AB126" s="594"/>
      <c r="AC126" s="594"/>
      <c r="AD126" s="594"/>
      <c r="AE126" s="595"/>
      <c r="AF126" s="595"/>
      <c r="AG126" s="595"/>
      <c r="AH126" s="593"/>
      <c r="AI126" s="595"/>
      <c r="AJ126" s="595"/>
      <c r="AK126" s="595"/>
      <c r="AL126" s="595"/>
      <c r="AM126" s="595"/>
      <c r="AN126" s="595"/>
      <c r="AO126" s="595"/>
      <c r="AP126" s="595"/>
      <c r="AQ126" s="595"/>
      <c r="AR126" s="595"/>
      <c r="AS126" s="595"/>
      <c r="AT126" s="595"/>
      <c r="AU126" s="596"/>
      <c r="AV126" s="595"/>
      <c r="AW126" s="595"/>
      <c r="AX126" s="595"/>
      <c r="AY126" s="595"/>
      <c r="AZ126" s="595"/>
      <c r="BA126" s="595"/>
      <c r="BB126" s="595"/>
      <c r="BC126" s="595"/>
      <c r="BD126" s="595"/>
      <c r="BE126" s="595"/>
      <c r="BF126" s="595"/>
      <c r="BG126" s="595"/>
      <c r="BH126" s="596"/>
    </row>
    <row r="127" spans="1:67" ht="34.5" x14ac:dyDescent="0.25">
      <c r="A127" s="605"/>
      <c r="B127" s="605"/>
      <c r="C127" s="605"/>
      <c r="D127" s="605"/>
      <c r="E127" s="591"/>
      <c r="F127" s="591"/>
      <c r="G127" s="568"/>
      <c r="H127" s="568"/>
      <c r="I127" s="597"/>
      <c r="J127" s="597"/>
      <c r="K127" s="597"/>
      <c r="L127" s="597"/>
      <c r="M127" s="597"/>
      <c r="N127" s="597"/>
      <c r="O127" s="597"/>
      <c r="P127" s="597"/>
      <c r="Q127" s="597"/>
      <c r="R127" s="597"/>
      <c r="S127" s="597"/>
      <c r="T127" s="597"/>
      <c r="U127" s="588"/>
      <c r="V127" s="598"/>
      <c r="W127" s="598"/>
      <c r="X127" s="598"/>
      <c r="Y127" s="598"/>
      <c r="Z127" s="598"/>
      <c r="AA127" s="598"/>
      <c r="AB127" s="598"/>
      <c r="AC127" s="598"/>
      <c r="AD127" s="598"/>
      <c r="AE127" s="598"/>
      <c r="AF127" s="598"/>
      <c r="AG127" s="598"/>
      <c r="AH127" s="588"/>
      <c r="AI127" s="597"/>
      <c r="AJ127" s="597"/>
      <c r="AK127" s="597"/>
      <c r="AL127" s="597"/>
      <c r="AM127" s="597"/>
      <c r="AN127" s="597"/>
      <c r="AO127" s="597"/>
      <c r="AP127" s="597"/>
      <c r="AQ127" s="597"/>
      <c r="AR127" s="597"/>
      <c r="AS127" s="597"/>
      <c r="AT127" s="597"/>
      <c r="AU127" s="590"/>
      <c r="AV127" s="597"/>
      <c r="AW127" s="597"/>
      <c r="AX127" s="597"/>
      <c r="AY127" s="597"/>
      <c r="AZ127" s="597"/>
      <c r="BA127" s="597"/>
      <c r="BB127" s="597"/>
      <c r="BC127" s="597"/>
      <c r="BD127" s="597"/>
      <c r="BE127" s="597"/>
      <c r="BF127" s="597"/>
      <c r="BG127" s="597"/>
      <c r="BH127" s="590"/>
    </row>
    <row r="128" spans="1:67" x14ac:dyDescent="0.55000000000000004">
      <c r="A128" s="578"/>
      <c r="B128" s="578"/>
      <c r="C128" s="578"/>
      <c r="D128" s="578"/>
      <c r="E128" s="599"/>
      <c r="F128" s="599"/>
      <c r="G128" s="600"/>
      <c r="H128" s="601"/>
      <c r="I128" s="578"/>
      <c r="J128" s="578"/>
      <c r="K128" s="578"/>
      <c r="L128" s="578"/>
      <c r="M128" s="578"/>
      <c r="N128" s="578"/>
      <c r="O128" s="578"/>
      <c r="P128" s="578"/>
      <c r="Q128" s="578"/>
      <c r="R128" s="578"/>
      <c r="S128" s="578"/>
      <c r="T128" s="578"/>
      <c r="U128" s="602"/>
      <c r="V128" s="578"/>
      <c r="W128" s="578"/>
      <c r="X128" s="578"/>
      <c r="Y128" s="578"/>
      <c r="Z128" s="578"/>
      <c r="AA128" s="578"/>
      <c r="AB128" s="578"/>
      <c r="AC128" s="578"/>
      <c r="AD128" s="578"/>
      <c r="AE128" s="578"/>
      <c r="AF128" s="578"/>
      <c r="AG128" s="578"/>
      <c r="AH128" s="602"/>
      <c r="AI128" s="578"/>
      <c r="AJ128" s="578"/>
      <c r="AK128" s="578"/>
      <c r="AL128" s="578"/>
      <c r="AM128" s="578"/>
      <c r="AN128" s="578"/>
      <c r="AO128" s="578"/>
      <c r="AP128" s="578"/>
      <c r="AQ128" s="578"/>
      <c r="AR128" s="578"/>
      <c r="AS128" s="578"/>
      <c r="AT128" s="578"/>
      <c r="AU128" s="603"/>
      <c r="AV128" s="578"/>
      <c r="AW128" s="578"/>
      <c r="AX128" s="578"/>
      <c r="AY128" s="578"/>
      <c r="AZ128" s="578"/>
      <c r="BA128" s="578"/>
      <c r="BB128" s="578"/>
      <c r="BC128" s="578"/>
      <c r="BD128" s="578"/>
      <c r="BE128" s="578"/>
      <c r="BF128" s="578"/>
      <c r="BG128" s="578"/>
      <c r="BH128" s="604"/>
    </row>
    <row r="129" spans="1:60" ht="38.25" customHeight="1" x14ac:dyDescent="0.25">
      <c r="A129" s="756"/>
      <c r="B129" s="756"/>
      <c r="C129" s="756"/>
      <c r="D129" s="756"/>
      <c r="E129" s="606"/>
      <c r="F129" s="606"/>
      <c r="G129" s="568"/>
      <c r="H129" s="568"/>
      <c r="I129" s="607"/>
      <c r="J129" s="607"/>
      <c r="K129" s="607"/>
      <c r="L129" s="607"/>
      <c r="M129" s="608"/>
      <c r="N129" s="608"/>
      <c r="O129" s="608"/>
      <c r="P129" s="608"/>
      <c r="Q129" s="608"/>
      <c r="R129" s="608"/>
      <c r="S129" s="608"/>
      <c r="T129" s="608"/>
      <c r="U129" s="568"/>
      <c r="V129" s="608"/>
      <c r="W129" s="608"/>
      <c r="X129" s="608"/>
      <c r="Y129" s="608"/>
      <c r="Z129" s="608"/>
      <c r="AA129" s="608"/>
      <c r="AB129" s="608"/>
      <c r="AC129" s="608"/>
      <c r="AD129" s="607"/>
      <c r="AE129" s="607"/>
      <c r="AF129" s="607"/>
      <c r="AG129" s="607"/>
      <c r="AH129" s="568"/>
      <c r="AI129" s="607"/>
      <c r="AJ129" s="607"/>
      <c r="AK129" s="607"/>
      <c r="AL129" s="607"/>
      <c r="AM129" s="607"/>
      <c r="AN129" s="607"/>
      <c r="AO129" s="608"/>
      <c r="AP129" s="608"/>
      <c r="AQ129" s="608"/>
      <c r="AR129" s="608"/>
      <c r="AS129" s="608"/>
      <c r="AT129" s="608"/>
      <c r="AU129" s="573"/>
      <c r="AV129" s="608"/>
      <c r="AW129" s="608"/>
      <c r="AX129" s="608"/>
      <c r="AY129" s="608"/>
      <c r="AZ129" s="608"/>
      <c r="BA129" s="608"/>
      <c r="BB129" s="608"/>
      <c r="BC129" s="608"/>
      <c r="BD129" s="608"/>
      <c r="BE129" s="608"/>
      <c r="BF129" s="608"/>
      <c r="BG129" s="608"/>
      <c r="BH129" s="573"/>
    </row>
    <row r="130" spans="1:60" ht="34.5" x14ac:dyDescent="0.25">
      <c r="A130" s="756"/>
      <c r="B130" s="756"/>
      <c r="C130" s="756"/>
      <c r="D130" s="756"/>
      <c r="E130" s="606"/>
      <c r="F130" s="606"/>
      <c r="G130" s="568"/>
      <c r="H130" s="568"/>
      <c r="I130" s="609"/>
      <c r="J130" s="609"/>
      <c r="K130" s="609"/>
      <c r="L130" s="609"/>
      <c r="M130" s="609"/>
      <c r="N130" s="609"/>
      <c r="O130" s="609"/>
      <c r="P130" s="609"/>
      <c r="Q130" s="589"/>
      <c r="R130" s="589"/>
      <c r="S130" s="589"/>
      <c r="T130" s="589"/>
      <c r="U130" s="568"/>
      <c r="V130" s="589"/>
      <c r="W130" s="589"/>
      <c r="X130" s="589"/>
      <c r="Y130" s="589"/>
      <c r="Z130" s="589"/>
      <c r="AA130" s="589"/>
      <c r="AB130" s="589"/>
      <c r="AC130" s="589"/>
      <c r="AD130" s="607"/>
      <c r="AE130" s="607"/>
      <c r="AF130" s="607"/>
      <c r="AG130" s="607"/>
      <c r="AH130" s="568"/>
      <c r="AI130" s="607"/>
      <c r="AJ130" s="607"/>
      <c r="AK130" s="607"/>
      <c r="AL130" s="607"/>
      <c r="AM130" s="607"/>
      <c r="AN130" s="607"/>
      <c r="AO130" s="608"/>
      <c r="AP130" s="608"/>
      <c r="AQ130" s="608"/>
      <c r="AR130" s="608"/>
      <c r="AS130" s="608"/>
      <c r="AT130" s="608"/>
      <c r="AU130" s="573"/>
      <c r="AV130" s="589"/>
      <c r="AW130" s="589"/>
      <c r="AX130" s="589"/>
      <c r="AY130" s="589"/>
      <c r="AZ130" s="589"/>
      <c r="BA130" s="589"/>
      <c r="BB130" s="589"/>
      <c r="BC130" s="589"/>
      <c r="BD130" s="589"/>
      <c r="BE130" s="589"/>
      <c r="BF130" s="589"/>
      <c r="BG130" s="589"/>
      <c r="BH130" s="590"/>
    </row>
    <row r="131" spans="1:60" ht="34.5" x14ac:dyDescent="0.25">
      <c r="A131" s="756"/>
      <c r="B131" s="756"/>
      <c r="C131" s="756"/>
      <c r="D131" s="756"/>
      <c r="E131" s="606"/>
      <c r="F131" s="606"/>
      <c r="G131" s="568"/>
      <c r="H131" s="568"/>
      <c r="I131" s="589"/>
      <c r="J131" s="589"/>
      <c r="K131" s="589"/>
      <c r="L131" s="589"/>
      <c r="M131" s="589"/>
      <c r="N131" s="589"/>
      <c r="O131" s="589"/>
      <c r="P131" s="589"/>
      <c r="Q131" s="589"/>
      <c r="R131" s="589"/>
      <c r="S131" s="589"/>
      <c r="T131" s="589"/>
      <c r="U131" s="568"/>
      <c r="V131" s="589"/>
      <c r="W131" s="589"/>
      <c r="X131" s="589"/>
      <c r="Y131" s="589"/>
      <c r="Z131" s="589"/>
      <c r="AA131" s="609"/>
      <c r="AB131" s="609"/>
      <c r="AC131" s="609"/>
      <c r="AD131" s="609"/>
      <c r="AE131" s="609"/>
      <c r="AF131" s="609"/>
      <c r="AG131" s="609"/>
      <c r="AH131" s="568"/>
      <c r="AI131" s="589"/>
      <c r="AJ131" s="589"/>
      <c r="AK131" s="589"/>
      <c r="AL131" s="589"/>
      <c r="AM131" s="589"/>
      <c r="AN131" s="589"/>
      <c r="AO131" s="589"/>
      <c r="AP131" s="589"/>
      <c r="AQ131" s="589"/>
      <c r="AR131" s="589"/>
      <c r="AS131" s="589"/>
      <c r="AT131" s="589"/>
      <c r="AU131" s="573"/>
      <c r="AV131" s="589"/>
      <c r="AW131" s="589"/>
      <c r="AX131" s="589"/>
      <c r="AY131" s="589"/>
      <c r="AZ131" s="589"/>
      <c r="BA131" s="589"/>
      <c r="BB131" s="589"/>
      <c r="BC131" s="589"/>
      <c r="BD131" s="589"/>
      <c r="BE131" s="589"/>
      <c r="BF131" s="589"/>
      <c r="BG131" s="589"/>
      <c r="BH131" s="590"/>
    </row>
    <row r="132" spans="1:60" ht="30" x14ac:dyDescent="0.25">
      <c r="A132" s="756"/>
      <c r="B132" s="756"/>
      <c r="C132" s="756"/>
      <c r="D132" s="756"/>
      <c r="E132" s="610"/>
      <c r="F132" s="610"/>
      <c r="G132"/>
      <c r="H132"/>
      <c r="U132"/>
      <c r="AH132"/>
      <c r="AU132"/>
      <c r="BD132"/>
      <c r="BH132"/>
    </row>
    <row r="133" spans="1:60" ht="30" x14ac:dyDescent="0.25">
      <c r="A133" s="756"/>
      <c r="B133" s="756"/>
      <c r="C133" s="756"/>
      <c r="D133" s="756"/>
      <c r="E133" s="610"/>
      <c r="F133" s="610"/>
      <c r="G133"/>
      <c r="H133"/>
      <c r="U133"/>
      <c r="AH133"/>
      <c r="AU133"/>
      <c r="BD133"/>
      <c r="BH133"/>
    </row>
    <row r="134" spans="1:60" ht="30" x14ac:dyDescent="0.25">
      <c r="A134" s="756"/>
      <c r="B134" s="756"/>
      <c r="C134" s="756"/>
      <c r="D134" s="756"/>
      <c r="E134" s="606"/>
      <c r="F134" s="606"/>
      <c r="G134"/>
      <c r="H134"/>
      <c r="U134"/>
      <c r="AH134"/>
      <c r="AU134"/>
      <c r="BD134"/>
      <c r="BH134"/>
    </row>
    <row r="135" spans="1:60" ht="30" x14ac:dyDescent="0.25">
      <c r="A135" s="756"/>
      <c r="B135" s="756"/>
      <c r="C135" s="756"/>
      <c r="D135" s="756"/>
      <c r="E135" s="606"/>
      <c r="F135" s="606"/>
      <c r="G135"/>
      <c r="H135"/>
      <c r="U135"/>
      <c r="AH135"/>
      <c r="AU135"/>
      <c r="BD135"/>
      <c r="BH135"/>
    </row>
    <row r="136" spans="1:60" ht="15.75" x14ac:dyDescent="0.25">
      <c r="A136" s="578"/>
      <c r="B136" s="578"/>
      <c r="C136" s="578"/>
      <c r="D136" s="578"/>
      <c r="E136" s="599"/>
      <c r="F136" s="599"/>
      <c r="G136"/>
      <c r="H136"/>
      <c r="U136"/>
      <c r="AH136"/>
      <c r="AU136"/>
      <c r="BD136"/>
      <c r="BH136"/>
    </row>
    <row r="137" spans="1:60" ht="30" x14ac:dyDescent="0.25">
      <c r="A137" s="756"/>
      <c r="B137" s="756"/>
      <c r="C137" s="756"/>
      <c r="D137" s="756"/>
      <c r="E137" s="606"/>
      <c r="F137" s="606"/>
      <c r="G137"/>
      <c r="H137"/>
      <c r="U137"/>
      <c r="AH137"/>
      <c r="AU137"/>
      <c r="BD137"/>
      <c r="BH137"/>
    </row>
    <row r="138" spans="1:60" ht="30" x14ac:dyDescent="0.25">
      <c r="A138" s="756"/>
      <c r="B138" s="756"/>
      <c r="C138" s="756"/>
      <c r="D138" s="756"/>
      <c r="E138" s="606"/>
      <c r="F138" s="606"/>
      <c r="G138"/>
      <c r="H138"/>
      <c r="U138"/>
      <c r="AH138"/>
      <c r="AU138"/>
      <c r="BD138"/>
      <c r="BH138"/>
    </row>
    <row r="139" spans="1:60" ht="30" x14ac:dyDescent="0.25">
      <c r="A139" s="756"/>
      <c r="B139" s="756"/>
      <c r="C139" s="756"/>
      <c r="D139" s="756"/>
      <c r="E139" s="606"/>
      <c r="F139" s="606"/>
      <c r="G139"/>
      <c r="H139"/>
      <c r="U139"/>
      <c r="AH139"/>
      <c r="AU139"/>
      <c r="BD139"/>
      <c r="BH139"/>
    </row>
    <row r="140" spans="1:60" ht="30" x14ac:dyDescent="0.25">
      <c r="A140" s="756"/>
      <c r="B140" s="756"/>
      <c r="C140" s="756"/>
      <c r="D140" s="756"/>
      <c r="E140" s="610"/>
      <c r="F140" s="610"/>
      <c r="G140"/>
      <c r="H140"/>
      <c r="U140"/>
      <c r="AH140"/>
      <c r="AU140"/>
      <c r="BD140"/>
      <c r="BH140"/>
    </row>
    <row r="141" spans="1:60" ht="30" x14ac:dyDescent="0.25">
      <c r="A141" s="756"/>
      <c r="B141" s="756"/>
      <c r="C141" s="756"/>
      <c r="D141" s="756"/>
      <c r="E141" s="610"/>
      <c r="F141" s="610"/>
      <c r="G141"/>
      <c r="H141"/>
      <c r="U141"/>
      <c r="AH141"/>
      <c r="AU141"/>
      <c r="BD141"/>
      <c r="BH141"/>
    </row>
    <row r="142" spans="1:60" ht="30" x14ac:dyDescent="0.25">
      <c r="A142" s="756"/>
      <c r="B142" s="756"/>
      <c r="C142" s="756"/>
      <c r="D142" s="756"/>
      <c r="E142" s="606"/>
      <c r="F142" s="606"/>
      <c r="G142"/>
      <c r="H142"/>
      <c r="U142"/>
      <c r="AH142"/>
      <c r="AU142"/>
      <c r="BD142"/>
      <c r="BH142"/>
    </row>
    <row r="143" spans="1:60" ht="30" x14ac:dyDescent="0.25">
      <c r="A143" s="756"/>
      <c r="B143" s="756"/>
      <c r="C143" s="756"/>
      <c r="D143" s="756"/>
      <c r="E143" s="606"/>
      <c r="F143" s="606"/>
      <c r="G143"/>
      <c r="H143"/>
      <c r="U143"/>
      <c r="AH143"/>
      <c r="AU143"/>
      <c r="BD143"/>
      <c r="BH143"/>
    </row>
    <row r="144" spans="1:60" ht="15.75" x14ac:dyDescent="0.25">
      <c r="A144" s="580"/>
      <c r="B144" s="580"/>
      <c r="C144" s="580"/>
      <c r="D144" s="580"/>
      <c r="E144" s="611"/>
      <c r="F144" s="611"/>
      <c r="G144"/>
      <c r="H144"/>
      <c r="U144"/>
      <c r="AH144"/>
      <c r="AU144"/>
      <c r="BD144"/>
      <c r="BH144"/>
    </row>
    <row r="145" spans="1:60" ht="15.75" x14ac:dyDescent="0.25">
      <c r="A145" s="580"/>
      <c r="B145" s="580"/>
      <c r="C145" s="580"/>
      <c r="D145" s="580"/>
      <c r="E145" s="611"/>
      <c r="F145" s="611"/>
      <c r="G145"/>
      <c r="H145"/>
      <c r="U145"/>
      <c r="AH145"/>
      <c r="AU145"/>
      <c r="BD145"/>
      <c r="BH145"/>
    </row>
    <row r="146" spans="1:60" ht="15.75" x14ac:dyDescent="0.25">
      <c r="A146" s="580"/>
      <c r="B146" s="580"/>
      <c r="C146" s="580"/>
      <c r="D146" s="580"/>
      <c r="E146" s="611"/>
      <c r="F146" s="611"/>
      <c r="G146"/>
      <c r="H146"/>
      <c r="U146"/>
      <c r="AH146"/>
      <c r="AU146"/>
      <c r="BD146"/>
      <c r="BH146"/>
    </row>
    <row r="147" spans="1:60" ht="15.75" x14ac:dyDescent="0.25">
      <c r="A147" s="580"/>
      <c r="B147" s="580"/>
      <c r="C147" s="580"/>
      <c r="D147" s="580"/>
      <c r="E147" s="611"/>
      <c r="F147" s="611"/>
      <c r="G147"/>
      <c r="H147"/>
      <c r="U147"/>
      <c r="AH147"/>
      <c r="AU147"/>
      <c r="BD147"/>
      <c r="BH147"/>
    </row>
    <row r="148" spans="1:60" ht="15.75" x14ac:dyDescent="0.25">
      <c r="A148" s="580"/>
      <c r="B148" s="580"/>
      <c r="C148" s="580"/>
      <c r="D148" s="580"/>
      <c r="E148" s="611"/>
      <c r="F148" s="611"/>
      <c r="G148"/>
      <c r="H148"/>
      <c r="U148"/>
      <c r="AH148"/>
      <c r="AU148"/>
      <c r="BD148"/>
      <c r="BH148"/>
    </row>
    <row r="149" spans="1:60" ht="15.75" x14ac:dyDescent="0.25">
      <c r="A149" s="580"/>
      <c r="B149" s="580"/>
      <c r="C149" s="580"/>
      <c r="D149" s="580"/>
      <c r="E149" s="611"/>
      <c r="F149" s="611"/>
      <c r="G149"/>
      <c r="H149"/>
      <c r="U149"/>
      <c r="AH149"/>
      <c r="AU149"/>
      <c r="BD149"/>
      <c r="BH149"/>
    </row>
    <row r="150" spans="1:60" ht="15.75" x14ac:dyDescent="0.25">
      <c r="A150" s="580"/>
      <c r="B150" s="580"/>
      <c r="C150" s="580"/>
      <c r="D150" s="580"/>
      <c r="E150" s="611"/>
      <c r="F150" s="611"/>
      <c r="G150"/>
      <c r="H150"/>
      <c r="U150"/>
      <c r="AH150"/>
      <c r="AU150"/>
      <c r="BD150"/>
      <c r="BH150"/>
    </row>
    <row r="151" spans="1:60" ht="15.75" x14ac:dyDescent="0.25">
      <c r="A151" s="580"/>
      <c r="B151" s="580"/>
      <c r="C151" s="580"/>
      <c r="D151" s="580"/>
      <c r="E151" s="611"/>
      <c r="F151" s="611"/>
      <c r="G151"/>
      <c r="H151"/>
      <c r="U151"/>
      <c r="AH151"/>
      <c r="AU151"/>
      <c r="BD151"/>
      <c r="BH151"/>
    </row>
    <row r="152" spans="1:60" ht="15.75" x14ac:dyDescent="0.25">
      <c r="A152" s="580"/>
      <c r="B152" s="580"/>
      <c r="C152" s="580"/>
      <c r="D152" s="580"/>
      <c r="E152" s="611"/>
      <c r="F152" s="611"/>
      <c r="G152"/>
      <c r="H152"/>
      <c r="U152"/>
      <c r="AH152"/>
      <c r="AU152"/>
      <c r="BD152"/>
      <c r="BH152"/>
    </row>
    <row r="153" spans="1:60" ht="15.75" x14ac:dyDescent="0.25">
      <c r="G153"/>
      <c r="H153"/>
      <c r="U153"/>
      <c r="AH153"/>
      <c r="AU153"/>
      <c r="BD153"/>
      <c r="BH153"/>
    </row>
  </sheetData>
  <mergeCells count="239">
    <mergeCell ref="B9:B58"/>
    <mergeCell ref="B59:B100"/>
    <mergeCell ref="B3:BH3"/>
    <mergeCell ref="B4:B6"/>
    <mergeCell ref="C4:D6"/>
    <mergeCell ref="E4:F6"/>
    <mergeCell ref="G4:G6"/>
    <mergeCell ref="H4:H6"/>
    <mergeCell ref="I4:T4"/>
    <mergeCell ref="U4:U6"/>
    <mergeCell ref="V4:AG4"/>
    <mergeCell ref="AH4:AH6"/>
    <mergeCell ref="AI4:AT4"/>
    <mergeCell ref="AU4:AU6"/>
    <mergeCell ref="AV4:BG4"/>
    <mergeCell ref="BH4:BH6"/>
    <mergeCell ref="AY5:BA5"/>
    <mergeCell ref="BB5:BD5"/>
    <mergeCell ref="BE5:BG5"/>
    <mergeCell ref="C7:D7"/>
    <mergeCell ref="E7:AU7"/>
    <mergeCell ref="C8:F8"/>
    <mergeCell ref="I8:T8"/>
    <mergeCell ref="V8:AG8"/>
    <mergeCell ref="AI8:AT8"/>
    <mergeCell ref="AV8:BG8"/>
    <mergeCell ref="AE5:AG5"/>
    <mergeCell ref="AI5:AK5"/>
    <mergeCell ref="AL5:AN5"/>
    <mergeCell ref="AO5:AQ5"/>
    <mergeCell ref="AR5:AT5"/>
    <mergeCell ref="AV5:AX5"/>
    <mergeCell ref="I5:K5"/>
    <mergeCell ref="L5:N5"/>
    <mergeCell ref="O5:Q5"/>
    <mergeCell ref="R5:T5"/>
    <mergeCell ref="Y5:AA5"/>
    <mergeCell ref="AB5:AD5"/>
    <mergeCell ref="AV10:BG10"/>
    <mergeCell ref="C11:D36"/>
    <mergeCell ref="E11:F12"/>
    <mergeCell ref="E13:F13"/>
    <mergeCell ref="E14:F15"/>
    <mergeCell ref="A9:A100"/>
    <mergeCell ref="C9:F9"/>
    <mergeCell ref="I9:T9"/>
    <mergeCell ref="V9:AG9"/>
    <mergeCell ref="AI9:AT9"/>
    <mergeCell ref="AV9:BG9"/>
    <mergeCell ref="C10:F10"/>
    <mergeCell ref="E16:F17"/>
    <mergeCell ref="E18:F18"/>
    <mergeCell ref="E19:F19"/>
    <mergeCell ref="E20:F21"/>
    <mergeCell ref="E22:F23"/>
    <mergeCell ref="E24:F25"/>
    <mergeCell ref="I10:T10"/>
    <mergeCell ref="V10:AG10"/>
    <mergeCell ref="AI10:AT10"/>
    <mergeCell ref="E32:F33"/>
    <mergeCell ref="E34:F34"/>
    <mergeCell ref="E35:F35"/>
    <mergeCell ref="E36:F36"/>
    <mergeCell ref="C37:F37"/>
    <mergeCell ref="I37:T37"/>
    <mergeCell ref="E26:F26"/>
    <mergeCell ref="E27:F27"/>
    <mergeCell ref="E28:F28"/>
    <mergeCell ref="E29:F29"/>
    <mergeCell ref="E30:F30"/>
    <mergeCell ref="E31:F31"/>
    <mergeCell ref="V37:AG37"/>
    <mergeCell ref="AI37:AT37"/>
    <mergeCell ref="AV37:BG37"/>
    <mergeCell ref="C38:C58"/>
    <mergeCell ref="D38:D46"/>
    <mergeCell ref="E38:F38"/>
    <mergeCell ref="E39:F39"/>
    <mergeCell ref="E40:F40"/>
    <mergeCell ref="D47:D52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D58:F58"/>
    <mergeCell ref="I58:T58"/>
    <mergeCell ref="V58:AG58"/>
    <mergeCell ref="AI58:AT58"/>
    <mergeCell ref="E69:F69"/>
    <mergeCell ref="E70:F70"/>
    <mergeCell ref="E71:F71"/>
    <mergeCell ref="D64:D66"/>
    <mergeCell ref="E64:F64"/>
    <mergeCell ref="E65:F65"/>
    <mergeCell ref="AV58:BG58"/>
    <mergeCell ref="D53:D57"/>
    <mergeCell ref="E53:F53"/>
    <mergeCell ref="E54:F54"/>
    <mergeCell ref="E55:F55"/>
    <mergeCell ref="E56:F56"/>
    <mergeCell ref="E57:F57"/>
    <mergeCell ref="E66:F66"/>
    <mergeCell ref="E93:F93"/>
    <mergeCell ref="C59:C77"/>
    <mergeCell ref="D59:D63"/>
    <mergeCell ref="E59:F59"/>
    <mergeCell ref="E60:F60"/>
    <mergeCell ref="E61:F61"/>
    <mergeCell ref="E62:F62"/>
    <mergeCell ref="E63:F63"/>
    <mergeCell ref="AV76:BG76"/>
    <mergeCell ref="D77:F77"/>
    <mergeCell ref="I77:T77"/>
    <mergeCell ref="V77:AG77"/>
    <mergeCell ref="AI77:AT77"/>
    <mergeCell ref="AV77:BG77"/>
    <mergeCell ref="D72:D75"/>
    <mergeCell ref="E72:F72"/>
    <mergeCell ref="E73:F73"/>
    <mergeCell ref="E74:F74"/>
    <mergeCell ref="E75:F75"/>
    <mergeCell ref="D76:F76"/>
    <mergeCell ref="D67:D71"/>
    <mergeCell ref="E67:F67"/>
    <mergeCell ref="E68:F68"/>
    <mergeCell ref="I76:T76"/>
    <mergeCell ref="V76:AG76"/>
    <mergeCell ref="AI76:AT76"/>
    <mergeCell ref="E86:F86"/>
    <mergeCell ref="E87:F87"/>
    <mergeCell ref="E88:F88"/>
    <mergeCell ref="E89:F89"/>
    <mergeCell ref="E90:F90"/>
    <mergeCell ref="E91:F91"/>
    <mergeCell ref="AV96:BG96"/>
    <mergeCell ref="C97:D99"/>
    <mergeCell ref="E97:F97"/>
    <mergeCell ref="E98:F98"/>
    <mergeCell ref="E99:F99"/>
    <mergeCell ref="I99:T99"/>
    <mergeCell ref="V99:AG99"/>
    <mergeCell ref="AI99:AT99"/>
    <mergeCell ref="AV99:BG99"/>
    <mergeCell ref="I96:T96"/>
    <mergeCell ref="C78:D96"/>
    <mergeCell ref="E78:F78"/>
    <mergeCell ref="E79:F79"/>
    <mergeCell ref="E80:F80"/>
    <mergeCell ref="E81:F81"/>
    <mergeCell ref="E82:E83"/>
    <mergeCell ref="E84:F84"/>
    <mergeCell ref="E85:F85"/>
    <mergeCell ref="E94:F94"/>
    <mergeCell ref="E95:F95"/>
    <mergeCell ref="E96:F96"/>
    <mergeCell ref="V96:AG96"/>
    <mergeCell ref="AI96:AT96"/>
    <mergeCell ref="E92:F92"/>
    <mergeCell ref="I100:T100"/>
    <mergeCell ref="V100:AG100"/>
    <mergeCell ref="AI100:AT100"/>
    <mergeCell ref="AV100:BG100"/>
    <mergeCell ref="C102:F102"/>
    <mergeCell ref="I102:T102"/>
    <mergeCell ref="V102:AG102"/>
    <mergeCell ref="AI102:AT102"/>
    <mergeCell ref="AV102:BG102"/>
    <mergeCell ref="C101:F101"/>
    <mergeCell ref="I101:T101"/>
    <mergeCell ref="V101:AG101"/>
    <mergeCell ref="AI101:AT101"/>
    <mergeCell ref="AV101:BG101"/>
    <mergeCell ref="C100:D100"/>
    <mergeCell ref="E100:F100"/>
    <mergeCell ref="C104:F104"/>
    <mergeCell ref="I104:T104"/>
    <mergeCell ref="V104:AG104"/>
    <mergeCell ref="AI104:AT104"/>
    <mergeCell ref="AV104:BG104"/>
    <mergeCell ref="C103:F103"/>
    <mergeCell ref="I103:T103"/>
    <mergeCell ref="V103:AG103"/>
    <mergeCell ref="AI103:AT103"/>
    <mergeCell ref="AV103:BG103"/>
    <mergeCell ref="C106:F106"/>
    <mergeCell ref="I106:T106"/>
    <mergeCell ref="V106:AG106"/>
    <mergeCell ref="AI106:AT106"/>
    <mergeCell ref="AV106:BG106"/>
    <mergeCell ref="C105:F105"/>
    <mergeCell ref="I105:T105"/>
    <mergeCell ref="V105:AG105"/>
    <mergeCell ref="AI105:AT105"/>
    <mergeCell ref="AV105:BG105"/>
    <mergeCell ref="AV110:BG110"/>
    <mergeCell ref="C108:F108"/>
    <mergeCell ref="I108:T108"/>
    <mergeCell ref="V108:AG108"/>
    <mergeCell ref="AI108:AT108"/>
    <mergeCell ref="AV108:BG108"/>
    <mergeCell ref="C109:F109"/>
    <mergeCell ref="C110:F110"/>
    <mergeCell ref="C107:F107"/>
    <mergeCell ref="I107:T107"/>
    <mergeCell ref="V107:AG107"/>
    <mergeCell ref="AI107:AT107"/>
    <mergeCell ref="AV107:BG107"/>
    <mergeCell ref="A129:D135"/>
    <mergeCell ref="A137:D143"/>
    <mergeCell ref="C113:F113"/>
    <mergeCell ref="I113:T113"/>
    <mergeCell ref="V113:AG113"/>
    <mergeCell ref="AI113:AT113"/>
    <mergeCell ref="AV113:BG113"/>
    <mergeCell ref="I109:T109"/>
    <mergeCell ref="V109:AG109"/>
    <mergeCell ref="AI109:AT109"/>
    <mergeCell ref="AV109:BG109"/>
    <mergeCell ref="C112:F112"/>
    <mergeCell ref="I112:T112"/>
    <mergeCell ref="V112:AG112"/>
    <mergeCell ref="AI112:AT112"/>
    <mergeCell ref="AV112:BG112"/>
    <mergeCell ref="C111:F111"/>
    <mergeCell ref="I111:T111"/>
    <mergeCell ref="V111:AG111"/>
    <mergeCell ref="AI111:AT111"/>
    <mergeCell ref="AV111:BG111"/>
    <mergeCell ref="I110:T110"/>
    <mergeCell ref="V110:AG110"/>
    <mergeCell ref="AI110:AT110"/>
  </mergeCells>
  <printOptions horizontalCentered="1"/>
  <pageMargins left="0.19685039370078741" right="0.19685039370078741" top="0.51181102362204722" bottom="0.86614173228346458" header="0" footer="0"/>
  <pageSetup paperSize="9" scale="13" fitToHeight="3" orientation="landscape" r:id="rId1"/>
  <rowBreaks count="2" manualBreakCount="2">
    <brk id="58" min="1" max="59" man="1"/>
    <brk id="100" min="1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Гр-к к ГП 2014</vt:lpstr>
      <vt:lpstr>'Гр-к к ГП 2014'!Заголовки_для_печати</vt:lpstr>
      <vt:lpstr>'Гр-к к ГП 2014'!Область_печати</vt:lpstr>
    </vt:vector>
  </TitlesOfParts>
  <Company>ESKO EES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shishelov-ne</dc:creator>
  <cp:lastModifiedBy>Николай Пузанков</cp:lastModifiedBy>
  <cp:lastPrinted>2011-05-30T11:32:36Z</cp:lastPrinted>
  <dcterms:created xsi:type="dcterms:W3CDTF">2011-04-25T06:23:53Z</dcterms:created>
  <dcterms:modified xsi:type="dcterms:W3CDTF">2011-05-30T11:33:57Z</dcterms:modified>
</cp:coreProperties>
</file>