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40" windowHeight="10050"/>
  </bookViews>
  <sheets>
    <sheet name="Смета" sheetId="14" r:id="rId1"/>
    <sheet name="Лист1" sheetId="15" r:id="rId2"/>
  </sheets>
  <definedNames>
    <definedName name="_xlnm.Print_Titles" localSheetId="0">Смета!$17:$18</definedName>
    <definedName name="_xlnm.Print_Area" localSheetId="0">Смета!$A$1:$I$224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3" i="14" l="1"/>
  <c r="I223" i="14"/>
  <c r="H207" i="14"/>
  <c r="I207" i="14"/>
  <c r="H206" i="14"/>
  <c r="I206" i="14"/>
  <c r="H181" i="14"/>
  <c r="I181" i="14"/>
  <c r="H162" i="14"/>
  <c r="I162" i="14"/>
  <c r="H143" i="14"/>
  <c r="I143" i="14"/>
  <c r="H117" i="14"/>
  <c r="I117" i="14"/>
  <c r="H89" i="14"/>
  <c r="I89" i="14"/>
  <c r="H74" i="14"/>
  <c r="I74" i="14"/>
  <c r="H53" i="14"/>
  <c r="I53" i="14"/>
  <c r="D209" i="14"/>
  <c r="D189" i="14"/>
  <c r="D69" i="14"/>
  <c r="D71" i="14"/>
  <c r="H71" i="14" s="1"/>
  <c r="G71" i="14"/>
  <c r="I71" i="14" l="1"/>
  <c r="D70" i="14"/>
  <c r="D68" i="14"/>
  <c r="N68" i="14"/>
  <c r="D66" i="14"/>
  <c r="D138" i="14"/>
  <c r="H28" i="14" l="1"/>
  <c r="G28" i="14"/>
  <c r="I28" i="14" s="1"/>
  <c r="G223" i="14"/>
  <c r="H29" i="14"/>
  <c r="G29" i="14"/>
  <c r="I29" i="14" s="1"/>
  <c r="D20" i="14"/>
  <c r="D23" i="14" s="1"/>
  <c r="K24" i="14"/>
  <c r="D27" i="14"/>
  <c r="H20" i="14" l="1"/>
  <c r="D22" i="14"/>
  <c r="H22" i="14" s="1"/>
  <c r="G22" i="14" l="1"/>
  <c r="I22" i="14" s="1"/>
  <c r="G20" i="14"/>
  <c r="K15" i="15"/>
  <c r="K4" i="15"/>
  <c r="K5" i="15"/>
  <c r="K6" i="15"/>
  <c r="K7" i="15"/>
  <c r="K8" i="15"/>
  <c r="K9" i="15"/>
  <c r="K10" i="15"/>
  <c r="K11" i="15"/>
  <c r="K3" i="15"/>
  <c r="E15" i="15"/>
  <c r="D15" i="15"/>
  <c r="D78" i="14"/>
  <c r="G78" i="14" s="1"/>
  <c r="C4" i="15"/>
  <c r="C5" i="15"/>
  <c r="C6" i="15"/>
  <c r="C7" i="15"/>
  <c r="C8" i="15"/>
  <c r="C9" i="15"/>
  <c r="C10" i="15"/>
  <c r="C11" i="15"/>
  <c r="C3" i="15"/>
  <c r="I20" i="14" l="1"/>
  <c r="H23" i="14"/>
  <c r="G23" i="14"/>
  <c r="D21" i="14"/>
  <c r="H78" i="14"/>
  <c r="I78" i="14" s="1"/>
  <c r="B12" i="15"/>
  <c r="J4" i="15"/>
  <c r="J5" i="15"/>
  <c r="J6" i="15"/>
  <c r="J7" i="15"/>
  <c r="J8" i="15"/>
  <c r="J9" i="15"/>
  <c r="J10" i="15"/>
  <c r="J11" i="15"/>
  <c r="J3" i="15"/>
  <c r="I4" i="15"/>
  <c r="I5" i="15"/>
  <c r="I6" i="15"/>
  <c r="I7" i="15"/>
  <c r="I8" i="15"/>
  <c r="I9" i="15"/>
  <c r="I10" i="15"/>
  <c r="I11" i="15"/>
  <c r="I3" i="15"/>
  <c r="F4" i="15"/>
  <c r="F5" i="15"/>
  <c r="F6" i="15"/>
  <c r="F7" i="15"/>
  <c r="F8" i="15"/>
  <c r="F9" i="15"/>
  <c r="F10" i="15"/>
  <c r="F11" i="15"/>
  <c r="F3" i="15"/>
  <c r="I23" i="14" l="1"/>
  <c r="H21" i="14"/>
  <c r="H24" i="14" s="1"/>
  <c r="G21" i="14"/>
  <c r="K12" i="15"/>
  <c r="K14" i="15" s="1"/>
  <c r="G70" i="14"/>
  <c r="G69" i="14"/>
  <c r="H68" i="14"/>
  <c r="K67" i="14"/>
  <c r="D67" i="14"/>
  <c r="G67" i="14" s="1"/>
  <c r="G66" i="14"/>
  <c r="K70" i="14"/>
  <c r="K69" i="14"/>
  <c r="K68" i="14"/>
  <c r="K66" i="14"/>
  <c r="G79" i="14"/>
  <c r="H79" i="14"/>
  <c r="G80" i="14"/>
  <c r="H80" i="14"/>
  <c r="G81" i="14"/>
  <c r="H81" i="14"/>
  <c r="G82" i="14"/>
  <c r="H82" i="14"/>
  <c r="G83" i="14"/>
  <c r="H83" i="14"/>
  <c r="G84" i="14"/>
  <c r="H84" i="14"/>
  <c r="G85" i="14"/>
  <c r="H85" i="14"/>
  <c r="G57" i="14"/>
  <c r="H57" i="14"/>
  <c r="G58" i="14"/>
  <c r="H58" i="14"/>
  <c r="G59" i="14"/>
  <c r="H59" i="14"/>
  <c r="G60" i="14"/>
  <c r="H60" i="14"/>
  <c r="G61" i="14"/>
  <c r="H61" i="14"/>
  <c r="G62" i="14"/>
  <c r="H62" i="14"/>
  <c r="G63" i="14"/>
  <c r="H63" i="14"/>
  <c r="G64" i="14"/>
  <c r="H64" i="14"/>
  <c r="G65" i="14"/>
  <c r="H65" i="14"/>
  <c r="G72" i="14"/>
  <c r="H72" i="14"/>
  <c r="G73" i="14"/>
  <c r="H73" i="14"/>
  <c r="D88" i="14"/>
  <c r="G88" i="14" s="1"/>
  <c r="D87" i="14"/>
  <c r="G87" i="14" s="1"/>
  <c r="D122" i="14"/>
  <c r="H122" i="14" s="1"/>
  <c r="D115" i="14"/>
  <c r="G115" i="14" s="1"/>
  <c r="D113" i="14"/>
  <c r="G113" i="14" s="1"/>
  <c r="D112" i="14"/>
  <c r="G112" i="14" s="1"/>
  <c r="D94" i="14"/>
  <c r="D93" i="14"/>
  <c r="H93" i="14" s="1"/>
  <c r="D91" i="14"/>
  <c r="J94" i="14"/>
  <c r="D136" i="14"/>
  <c r="G123" i="14"/>
  <c r="H123" i="14"/>
  <c r="G124" i="14"/>
  <c r="H124" i="14"/>
  <c r="D121" i="14"/>
  <c r="G121" i="14" s="1"/>
  <c r="D139" i="14"/>
  <c r="D141" i="14"/>
  <c r="D142" i="14"/>
  <c r="D140" i="14"/>
  <c r="I65" i="14" l="1"/>
  <c r="I21" i="14"/>
  <c r="I24" i="14" s="1"/>
  <c r="G24" i="14"/>
  <c r="I61" i="14"/>
  <c r="I123" i="14"/>
  <c r="I80" i="14"/>
  <c r="H70" i="14"/>
  <c r="I70" i="14" s="1"/>
  <c r="I58" i="14"/>
  <c r="I57" i="14"/>
  <c r="I63" i="14"/>
  <c r="H88" i="14"/>
  <c r="I88" i="14" s="1"/>
  <c r="I73" i="14"/>
  <c r="I62" i="14"/>
  <c r="I72" i="14"/>
  <c r="H113" i="14"/>
  <c r="I113" i="14" s="1"/>
  <c r="I60" i="14"/>
  <c r="I64" i="14"/>
  <c r="I81" i="14"/>
  <c r="I85" i="14"/>
  <c r="I79" i="14"/>
  <c r="I84" i="14"/>
  <c r="H112" i="14"/>
  <c r="I112" i="14" s="1"/>
  <c r="H87" i="14"/>
  <c r="I87" i="14" s="1"/>
  <c r="I82" i="14"/>
  <c r="H115" i="14"/>
  <c r="I115" i="14" s="1"/>
  <c r="H67" i="14"/>
  <c r="I67" i="14" s="1"/>
  <c r="H69" i="14"/>
  <c r="I69" i="14" s="1"/>
  <c r="G68" i="14"/>
  <c r="I68" i="14" s="1"/>
  <c r="H66" i="14"/>
  <c r="I66" i="14" s="1"/>
  <c r="I83" i="14"/>
  <c r="I59" i="14"/>
  <c r="G122" i="14"/>
  <c r="I122" i="14" s="1"/>
  <c r="H121" i="14"/>
  <c r="I121" i="14" s="1"/>
  <c r="I124" i="14"/>
  <c r="G93" i="14"/>
  <c r="I93" i="14" s="1"/>
  <c r="G138" i="14"/>
  <c r="G139" i="14"/>
  <c r="H139" i="14"/>
  <c r="G140" i="14"/>
  <c r="H140" i="14"/>
  <c r="G141" i="14"/>
  <c r="H141" i="14"/>
  <c r="G142" i="14"/>
  <c r="H142" i="14"/>
  <c r="D116" i="14"/>
  <c r="D114" i="14"/>
  <c r="D177" i="14"/>
  <c r="D158" i="14"/>
  <c r="D110" i="14"/>
  <c r="G27" i="14"/>
  <c r="G26" i="14"/>
  <c r="H114" i="14" l="1"/>
  <c r="G114" i="14"/>
  <c r="G116" i="14"/>
  <c r="H116" i="14"/>
  <c r="I140" i="14"/>
  <c r="I142" i="14"/>
  <c r="H138" i="14"/>
  <c r="I138" i="14" s="1"/>
  <c r="I141" i="14"/>
  <c r="H26" i="14"/>
  <c r="I139" i="14"/>
  <c r="H27" i="14"/>
  <c r="I27" i="14" s="1"/>
  <c r="G184" i="14"/>
  <c r="H184" i="14"/>
  <c r="G185" i="14"/>
  <c r="H185" i="14"/>
  <c r="G186" i="14"/>
  <c r="H186" i="14"/>
  <c r="G187" i="14"/>
  <c r="H187" i="14"/>
  <c r="G188" i="14"/>
  <c r="H188" i="14"/>
  <c r="G189" i="14"/>
  <c r="H189" i="14"/>
  <c r="G190" i="14"/>
  <c r="H190" i="14"/>
  <c r="G191" i="14"/>
  <c r="H191" i="14"/>
  <c r="G192" i="14"/>
  <c r="H192" i="14"/>
  <c r="G193" i="14"/>
  <c r="H193" i="14"/>
  <c r="G194" i="14"/>
  <c r="H194" i="14"/>
  <c r="G195" i="14"/>
  <c r="H195" i="14"/>
  <c r="G196" i="14"/>
  <c r="H196" i="14"/>
  <c r="G197" i="14"/>
  <c r="H197" i="14"/>
  <c r="G198" i="14"/>
  <c r="H198" i="14"/>
  <c r="G199" i="14"/>
  <c r="H199" i="14"/>
  <c r="G200" i="14"/>
  <c r="H200" i="14"/>
  <c r="G201" i="14"/>
  <c r="H201" i="14"/>
  <c r="G202" i="14"/>
  <c r="H202" i="14"/>
  <c r="G203" i="14"/>
  <c r="H203" i="14"/>
  <c r="G204" i="14"/>
  <c r="H204" i="14"/>
  <c r="G205" i="14"/>
  <c r="H205" i="14"/>
  <c r="H183" i="14"/>
  <c r="G183" i="14"/>
  <c r="H30" i="14" l="1"/>
  <c r="G30" i="14"/>
  <c r="I26" i="14"/>
  <c r="I30" i="14" s="1"/>
  <c r="I114" i="14"/>
  <c r="I188" i="14"/>
  <c r="I204" i="14"/>
  <c r="I116" i="14"/>
  <c r="I194" i="14"/>
  <c r="I196" i="14"/>
  <c r="I190" i="14"/>
  <c r="I186" i="14"/>
  <c r="I183" i="14"/>
  <c r="I191" i="14"/>
  <c r="I199" i="14"/>
  <c r="I195" i="14"/>
  <c r="I200" i="14"/>
  <c r="I192" i="14"/>
  <c r="I203" i="14"/>
  <c r="I202" i="14"/>
  <c r="I197" i="14"/>
  <c r="I201" i="14"/>
  <c r="I198" i="14"/>
  <c r="I205" i="14"/>
  <c r="I185" i="14"/>
  <c r="I193" i="14"/>
  <c r="I189" i="14"/>
  <c r="I184" i="14"/>
  <c r="I187" i="14"/>
  <c r="G206" i="14"/>
  <c r="D180" i="14"/>
  <c r="H180" i="14" s="1"/>
  <c r="H179" i="14"/>
  <c r="G179" i="14"/>
  <c r="D178" i="14"/>
  <c r="G178" i="14" s="1"/>
  <c r="H177" i="14"/>
  <c r="D176" i="14"/>
  <c r="G176" i="14" s="1"/>
  <c r="H175" i="14"/>
  <c r="G175" i="14"/>
  <c r="H174" i="14"/>
  <c r="G174" i="14"/>
  <c r="H173" i="14"/>
  <c r="G173" i="14"/>
  <c r="H172" i="14"/>
  <c r="G172" i="14"/>
  <c r="H171" i="14"/>
  <c r="G171" i="14"/>
  <c r="H170" i="14"/>
  <c r="G170" i="14"/>
  <c r="H169" i="14"/>
  <c r="G169" i="14"/>
  <c r="H168" i="14"/>
  <c r="G168" i="14"/>
  <c r="H167" i="14"/>
  <c r="G167" i="14"/>
  <c r="H166" i="14"/>
  <c r="G166" i="14"/>
  <c r="H165" i="14"/>
  <c r="G165" i="14"/>
  <c r="H164" i="14"/>
  <c r="G164" i="14"/>
  <c r="H153" i="14"/>
  <c r="G153" i="14"/>
  <c r="H158" i="14"/>
  <c r="D157" i="14"/>
  <c r="G157" i="14" s="1"/>
  <c r="H160" i="14"/>
  <c r="G160" i="14"/>
  <c r="D161" i="14"/>
  <c r="H161" i="14" s="1"/>
  <c r="D159" i="14"/>
  <c r="H159" i="14" s="1"/>
  <c r="G156" i="14"/>
  <c r="H156" i="14"/>
  <c r="G146" i="14"/>
  <c r="H146" i="14"/>
  <c r="G147" i="14"/>
  <c r="H147" i="14"/>
  <c r="G148" i="14"/>
  <c r="H148" i="14"/>
  <c r="G149" i="14"/>
  <c r="H149" i="14"/>
  <c r="G150" i="14"/>
  <c r="H150" i="14"/>
  <c r="G151" i="14"/>
  <c r="H151" i="14"/>
  <c r="G152" i="14"/>
  <c r="H152" i="14"/>
  <c r="G154" i="14"/>
  <c r="H154" i="14"/>
  <c r="G155" i="14"/>
  <c r="H155" i="14"/>
  <c r="H145" i="14"/>
  <c r="G145" i="14"/>
  <c r="G120" i="14"/>
  <c r="H120" i="14"/>
  <c r="G125" i="14"/>
  <c r="H125" i="14"/>
  <c r="G126" i="14"/>
  <c r="H126" i="14"/>
  <c r="G127" i="14"/>
  <c r="H127" i="14"/>
  <c r="G128" i="14"/>
  <c r="H128" i="14"/>
  <c r="G129" i="14"/>
  <c r="H129" i="14"/>
  <c r="G130" i="14"/>
  <c r="H130" i="14"/>
  <c r="G131" i="14"/>
  <c r="H131" i="14"/>
  <c r="G132" i="14"/>
  <c r="H132" i="14"/>
  <c r="G133" i="14"/>
  <c r="H133" i="14"/>
  <c r="G134" i="14"/>
  <c r="H134" i="14"/>
  <c r="G135" i="14"/>
  <c r="H135" i="14"/>
  <c r="G136" i="14"/>
  <c r="H136" i="14"/>
  <c r="G137" i="14"/>
  <c r="H137" i="14"/>
  <c r="H92" i="14"/>
  <c r="G92" i="14"/>
  <c r="G94" i="14"/>
  <c r="H94" i="14"/>
  <c r="G95" i="14"/>
  <c r="H95" i="14"/>
  <c r="G96" i="14"/>
  <c r="H96" i="14"/>
  <c r="G97" i="14"/>
  <c r="H97" i="14"/>
  <c r="G98" i="14"/>
  <c r="H98" i="14"/>
  <c r="G99" i="14"/>
  <c r="H99" i="14"/>
  <c r="G100" i="14"/>
  <c r="H100" i="14"/>
  <c r="G101" i="14"/>
  <c r="H101" i="14"/>
  <c r="G102" i="14"/>
  <c r="H102" i="14"/>
  <c r="G103" i="14"/>
  <c r="H103" i="14"/>
  <c r="G104" i="14"/>
  <c r="H104" i="14"/>
  <c r="G105" i="14"/>
  <c r="H105" i="14"/>
  <c r="G106" i="14"/>
  <c r="H106" i="14"/>
  <c r="G107" i="14"/>
  <c r="H107" i="14"/>
  <c r="G108" i="14"/>
  <c r="H108" i="14"/>
  <c r="G109" i="14"/>
  <c r="H109" i="14"/>
  <c r="G110" i="14"/>
  <c r="H110" i="14"/>
  <c r="G111" i="14"/>
  <c r="H111" i="14"/>
  <c r="I156" i="14" l="1"/>
  <c r="I171" i="14"/>
  <c r="I166" i="14"/>
  <c r="H176" i="14"/>
  <c r="I176" i="14" s="1"/>
  <c r="G180" i="14"/>
  <c r="I180" i="14" s="1"/>
  <c r="I172" i="14"/>
  <c r="I168" i="14"/>
  <c r="I167" i="14"/>
  <c r="I169" i="14"/>
  <c r="I170" i="14"/>
  <c r="I164" i="14"/>
  <c r="I174" i="14"/>
  <c r="I165" i="14"/>
  <c r="I175" i="14"/>
  <c r="I179" i="14"/>
  <c r="I173" i="14"/>
  <c r="H178" i="14"/>
  <c r="I178" i="14" s="1"/>
  <c r="G177" i="14"/>
  <c r="I177" i="14" s="1"/>
  <c r="I125" i="14"/>
  <c r="I153" i="14"/>
  <c r="I128" i="14"/>
  <c r="I155" i="14"/>
  <c r="I127" i="14"/>
  <c r="I136" i="14"/>
  <c r="I152" i="14"/>
  <c r="I129" i="14"/>
  <c r="I133" i="14"/>
  <c r="G159" i="14"/>
  <c r="I159" i="14" s="1"/>
  <c r="I149" i="14"/>
  <c r="G158" i="14"/>
  <c r="I158" i="14" s="1"/>
  <c r="G161" i="14"/>
  <c r="I161" i="14" s="1"/>
  <c r="H157" i="14"/>
  <c r="I157" i="14" s="1"/>
  <c r="I131" i="14"/>
  <c r="I146" i="14"/>
  <c r="I135" i="14"/>
  <c r="I120" i="14"/>
  <c r="I134" i="14"/>
  <c r="I150" i="14"/>
  <c r="I137" i="14"/>
  <c r="I132" i="14"/>
  <c r="I148" i="14"/>
  <c r="I160" i="14"/>
  <c r="I154" i="14"/>
  <c r="I126" i="14"/>
  <c r="I147" i="14"/>
  <c r="I130" i="14"/>
  <c r="I151" i="14"/>
  <c r="I145" i="14"/>
  <c r="I92" i="14"/>
  <c r="I101" i="14"/>
  <c r="I96" i="14"/>
  <c r="I94" i="14"/>
  <c r="I109" i="14"/>
  <c r="I97" i="14"/>
  <c r="I100" i="14"/>
  <c r="I104" i="14"/>
  <c r="I105" i="14"/>
  <c r="I110" i="14"/>
  <c r="I102" i="14"/>
  <c r="I106" i="14"/>
  <c r="I98" i="14"/>
  <c r="I99" i="14"/>
  <c r="I108" i="14"/>
  <c r="I111" i="14"/>
  <c r="I95" i="14"/>
  <c r="I103" i="14"/>
  <c r="I107" i="14"/>
  <c r="G91" i="14"/>
  <c r="G117" i="14" s="1"/>
  <c r="D86" i="14"/>
  <c r="D77" i="14"/>
  <c r="D76" i="14"/>
  <c r="G76" i="14" s="1"/>
  <c r="G77" i="14" l="1"/>
  <c r="H77" i="14"/>
  <c r="H86" i="14"/>
  <c r="G86" i="14"/>
  <c r="G181" i="14"/>
  <c r="G162" i="14"/>
  <c r="H76" i="14"/>
  <c r="H91" i="14"/>
  <c r="H51" i="14"/>
  <c r="G51" i="14"/>
  <c r="H50" i="14"/>
  <c r="G50" i="14"/>
  <c r="H49" i="14"/>
  <c r="G49" i="14"/>
  <c r="H43" i="14"/>
  <c r="G43" i="14"/>
  <c r="D42" i="14"/>
  <c r="G42" i="14" s="1"/>
  <c r="G40" i="14"/>
  <c r="H48" i="14"/>
  <c r="G48" i="14"/>
  <c r="D47" i="14"/>
  <c r="H47" i="14" s="1"/>
  <c r="D46" i="14"/>
  <c r="G46" i="14" s="1"/>
  <c r="D45" i="14"/>
  <c r="G45" i="14" s="1"/>
  <c r="D44" i="14"/>
  <c r="G44" i="14" s="1"/>
  <c r="D41" i="14"/>
  <c r="G41" i="14" s="1"/>
  <c r="D39" i="14"/>
  <c r="H39" i="14" s="1"/>
  <c r="D38" i="14"/>
  <c r="G38" i="14" s="1"/>
  <c r="H34" i="14"/>
  <c r="G34" i="14"/>
  <c r="D33" i="14"/>
  <c r="G89" i="14" l="1"/>
  <c r="I86" i="14"/>
  <c r="I77" i="14"/>
  <c r="I76" i="14"/>
  <c r="I51" i="14"/>
  <c r="G47" i="14"/>
  <c r="I47" i="14" s="1"/>
  <c r="I43" i="14"/>
  <c r="I34" i="14"/>
  <c r="I50" i="14"/>
  <c r="I91" i="14"/>
  <c r="I49" i="14"/>
  <c r="I48" i="14"/>
  <c r="H38" i="14"/>
  <c r="I38" i="14" s="1"/>
  <c r="H45" i="14"/>
  <c r="I45" i="14" s="1"/>
  <c r="H46" i="14"/>
  <c r="I46" i="14" s="1"/>
  <c r="H44" i="14"/>
  <c r="I44" i="14" s="1"/>
  <c r="H42" i="14"/>
  <c r="I42" i="14" s="1"/>
  <c r="H41" i="14"/>
  <c r="I41" i="14" s="1"/>
  <c r="H40" i="14"/>
  <c r="I40" i="14" s="1"/>
  <c r="G39" i="14"/>
  <c r="I39" i="14" s="1"/>
  <c r="H214" i="14"/>
  <c r="G214" i="14"/>
  <c r="H213" i="14"/>
  <c r="G213" i="14"/>
  <c r="H212" i="14"/>
  <c r="H215" i="14" s="1"/>
  <c r="H224" i="14" s="1"/>
  <c r="G212" i="14"/>
  <c r="H211" i="14"/>
  <c r="G211" i="14"/>
  <c r="H210" i="14"/>
  <c r="G210" i="14"/>
  <c r="H119" i="14"/>
  <c r="G119" i="14"/>
  <c r="G143" i="14" s="1"/>
  <c r="H56" i="14"/>
  <c r="G56" i="14"/>
  <c r="G74" i="14" s="1"/>
  <c r="G207" i="14" s="1"/>
  <c r="H37" i="14"/>
  <c r="G37" i="14"/>
  <c r="H33" i="14"/>
  <c r="H35" i="14" s="1"/>
  <c r="G33" i="14"/>
  <c r="G35" i="14" s="1"/>
  <c r="I119" i="14" l="1"/>
  <c r="I210" i="14"/>
  <c r="I211" i="14"/>
  <c r="I212" i="14"/>
  <c r="I215" i="14" s="1"/>
  <c r="I224" i="14" s="1"/>
  <c r="I214" i="14"/>
  <c r="I213" i="14"/>
  <c r="I56" i="14"/>
  <c r="I37" i="14"/>
  <c r="I33" i="14"/>
  <c r="I35" i="14" s="1"/>
  <c r="G209" i="14" l="1"/>
  <c r="H209" i="14"/>
  <c r="I209" i="14" l="1"/>
  <c r="G215" i="14" l="1"/>
  <c r="G224" i="14" s="1"/>
  <c r="G52" i="14"/>
  <c r="G53" i="14" s="1"/>
  <c r="H52" i="14"/>
  <c r="I52" i="14" l="1"/>
</calcChain>
</file>

<file path=xl/sharedStrings.xml><?xml version="1.0" encoding="utf-8"?>
<sst xmlns="http://schemas.openxmlformats.org/spreadsheetml/2006/main" count="418" uniqueCount="200">
  <si>
    <t>шт</t>
  </si>
  <si>
    <t>м3</t>
  </si>
  <si>
    <t>СОГЛАСОВАНО:</t>
  </si>
  <si>
    <t>УТВЕРЖДАЮ:</t>
  </si>
  <si>
    <t>(наименование стройки)</t>
  </si>
  <si>
    <t xml:space="preserve"> </t>
  </si>
  <si>
    <t>(наименование работ и затрат, наименование объекта)</t>
  </si>
  <si>
    <t>№</t>
  </si>
  <si>
    <t>Наименование работ</t>
  </si>
  <si>
    <t xml:space="preserve">Ед. </t>
  </si>
  <si>
    <t>Кол-во</t>
  </si>
  <si>
    <t>Всего</t>
  </si>
  <si>
    <t>Работа</t>
  </si>
  <si>
    <t>Материалы</t>
  </si>
  <si>
    <t xml:space="preserve">  </t>
  </si>
  <si>
    <t>Директор</t>
  </si>
  <si>
    <t>м.п</t>
  </si>
  <si>
    <t xml:space="preserve">Промывка трубопровода </t>
  </si>
  <si>
    <t>Вынос в натуру наружных сетей и контрольно-исполнительная съемка (Услуги геодезистов и сдача исполнительной съемки в Геофонд)</t>
  </si>
  <si>
    <t xml:space="preserve">Разработка грунта с перемещением механизмами </t>
  </si>
  <si>
    <t xml:space="preserve">                     2026 г.</t>
  </si>
  <si>
    <t xml:space="preserve">                                  2026 г.</t>
  </si>
  <si>
    <t>Разработка ППР</t>
  </si>
  <si>
    <t>на</t>
  </si>
  <si>
    <t xml:space="preserve">Вывоз грунта в отвал </t>
  </si>
  <si>
    <t>Согласование отключений на время производства работ</t>
  </si>
  <si>
    <r>
      <t xml:space="preserve">_______________________________________/ </t>
    </r>
    <r>
      <rPr>
        <u/>
        <sz val="11"/>
        <rFont val="Times New Roman"/>
        <family val="1"/>
        <charset val="204"/>
      </rPr>
      <t xml:space="preserve">              </t>
    </r>
    <r>
      <rPr>
        <sz val="11"/>
        <rFont val="Times New Roman"/>
        <family val="1"/>
        <charset val="204"/>
      </rPr>
      <t xml:space="preserve"> /</t>
    </r>
  </si>
  <si>
    <t>По доверенности</t>
  </si>
  <si>
    <t>____________________________/А.Л. Мерзликин/</t>
  </si>
  <si>
    <t>Локальный сметный расчет №1</t>
  </si>
  <si>
    <t>ВСЕГО:</t>
  </si>
  <si>
    <t>Стоимость единицы, руб</t>
  </si>
  <si>
    <t>Общая стоимость, руб</t>
  </si>
  <si>
    <t>Обратная засыпка грунтом</t>
  </si>
  <si>
    <t>Устройство основания под ФБС: щебеночного</t>
  </si>
  <si>
    <t>Монтаж ФБС 9.4.6-Т</t>
  </si>
  <si>
    <t>Итого: Монтаж опор ОП1-ОП16</t>
  </si>
  <si>
    <t>Итого: Прокладка трубопровода</t>
  </si>
  <si>
    <t>Монтаж опор подвижных ОПБ1-57</t>
  </si>
  <si>
    <t>м</t>
  </si>
  <si>
    <t>Монтаж стального шарового крана "LD" (сталь 20) со стандартным штоком КШ.Ц.П.050.040.Н/П.02 DN 50, PN 4.0 МПа (сварка/сварка)</t>
  </si>
  <si>
    <t>Монтаж стального шарового крана "LD" (сталь 20) со стандартным штоком КШ.Ц.П. 025.040.Н/П.02 DN 25, PN 4.0 МПа (сварка/сварка)</t>
  </si>
  <si>
    <t>Прокладка труб стальных бесшовных холоднодеформированных 57х4.0 ГОСТ 8734-75/ В-20 ГОСТ 8733-74</t>
  </si>
  <si>
    <t>Прокладка труб стальных бесшовных холоднодеформированных 32х4.0 ГОСТ 8734-75/ В-20 ГОСТ 8733-74</t>
  </si>
  <si>
    <t>Монтаж отвода 90-57х4.0 - В-20</t>
  </si>
  <si>
    <t>Монтаж отвода 90-32х4.0 - В-20</t>
  </si>
  <si>
    <t>Монтаж штуцера для ответвлений 57х6.0 - ТС-592-069 (труба 57х6.0 ГОСТ 8734-75/ В-20 ГОСТ 8733-74)</t>
  </si>
  <si>
    <t>Монтаж заглушки плоской приварной 159х5.0 ТС-595.000-24 (Ру1,6 Мпа, сталь 17Г1С)</t>
  </si>
  <si>
    <t>Монтаж штуцера для ответвлений 57х6.0 - ТС-592-069 (труба 57х4.0 ГОСТ 8734-75/ В-20 ГОСТ 8733-74)</t>
  </si>
  <si>
    <t>Монтаж заглушки 76х3.5 -В-20 ГОСТ 17379-2001</t>
  </si>
  <si>
    <t>Монтаж отвода 60-57х4.0 - В-20</t>
  </si>
  <si>
    <t>Антикорозийное покрытие трубопроводов (2 слоя мастики "Вектор 1025", 1 слой мастики "Вектор 1214")</t>
  </si>
  <si>
    <t>м2</t>
  </si>
  <si>
    <t>Устройство тепловой изоляции трубопроводов: маты прошивные из минеральной ваты теплоизоляционные МП-100, толщиной 40 мм</t>
  </si>
  <si>
    <t>Монтаж покрывного слоя: стеклопластик рулонный марки РСТ-275</t>
  </si>
  <si>
    <t>вынос сетей теплоснабжения из зоны строительства</t>
  </si>
  <si>
    <t>Монтаж лотков Л 4-15/2</t>
  </si>
  <si>
    <t>Монтаж лотков Л 4д-15</t>
  </si>
  <si>
    <t>Монтаж плит П6-15 (инд.)</t>
  </si>
  <si>
    <t>Монтаж плит П6д-15 (инд.)</t>
  </si>
  <si>
    <t>Монтаж балок Б1</t>
  </si>
  <si>
    <t>Монтаж опорных подушек ОП1</t>
  </si>
  <si>
    <t>Устройство основания: песчанного</t>
  </si>
  <si>
    <t>Итого: Монтаж лотков, плит, балок, опорных подушек</t>
  </si>
  <si>
    <t>Итого: Устройство монолитных участков</t>
  </si>
  <si>
    <t>Устройство бетонной подготовки</t>
  </si>
  <si>
    <t>Устройство монолитного участка Ум1</t>
  </si>
  <si>
    <t>Устройство монолитного участка Ум2</t>
  </si>
  <si>
    <t>Устройство монолитного участка Ум3</t>
  </si>
  <si>
    <t>Устройство монолитного участка Ум4</t>
  </si>
  <si>
    <t>Устройство монолитного участка Ум5</t>
  </si>
  <si>
    <t>Устройство монолитного участка Ум6</t>
  </si>
  <si>
    <t>Устройство монолитного участка Ум7</t>
  </si>
  <si>
    <t>Устройство гидроизоляции рабочего шва прокладкой Пенебар</t>
  </si>
  <si>
    <t>Устройство плиты Пм1</t>
  </si>
  <si>
    <t>Монтаж ФБС 9.5.6-Т</t>
  </si>
  <si>
    <t>Монтаж ФБС 12.5.6-Т</t>
  </si>
  <si>
    <t>Монтаж плит ПТО 150.150.12-6</t>
  </si>
  <si>
    <t>Монтаж плит ПТ 75.150.12-6</t>
  </si>
  <si>
    <t>Монтаж балок Б6</t>
  </si>
  <si>
    <t>Монтаж балок Б2</t>
  </si>
  <si>
    <t>Монтаж стенового кольца КС7.3-С</t>
  </si>
  <si>
    <t>Монтаж опорного кольца КО 6</t>
  </si>
  <si>
    <t>Монтаж люка Т(С250)ТС.2.7-60 с замком и крышкой шарнирно прикрепленной к корпусу</t>
  </si>
  <si>
    <t>Монтаж крышки металлической К1</t>
  </si>
  <si>
    <t>Монтаж стремянки СГ-28</t>
  </si>
  <si>
    <t>Монтаж решетки Р1</t>
  </si>
  <si>
    <r>
      <t xml:space="preserve">Монтаж закладной ЗД1 (труба </t>
    </r>
    <r>
      <rPr>
        <sz val="12"/>
        <rFont val="Calibri"/>
        <family val="2"/>
        <charset val="204"/>
      </rPr>
      <t>ø 133×5 L=900)</t>
    </r>
  </si>
  <si>
    <t xml:space="preserve">Заполнение проёма кирпичом </t>
  </si>
  <si>
    <t>Устройство монолитных участков между ФБС</t>
  </si>
  <si>
    <t>Герметизация трубопровода в гильзе ЗД1 набивкой плетенной пропитанной жирным антифрикционным составом на основе нефтяных экстрактов грофитированная АП-31 42</t>
  </si>
  <si>
    <t>Итого: Устройство камеры УТ1</t>
  </si>
  <si>
    <t>Монтаж плит ПТО 150.240.14-6 (инд.)</t>
  </si>
  <si>
    <t>Монтаж стремянки СГ-22</t>
  </si>
  <si>
    <r>
      <t xml:space="preserve">Монтаж закладной ЗД1 (труба </t>
    </r>
    <r>
      <rPr>
        <sz val="12"/>
        <rFont val="Calibri"/>
        <family val="2"/>
        <charset val="204"/>
      </rPr>
      <t>ø 133×5 L=500)</t>
    </r>
  </si>
  <si>
    <t>Устройство монолитного пояса</t>
  </si>
  <si>
    <t>Устройство бетонной подготовки t=100 мм</t>
  </si>
  <si>
    <t>Устройство основания щебеночного t=300 мм</t>
  </si>
  <si>
    <t>Итого: Устройство камеры УТ2</t>
  </si>
  <si>
    <t>Монтаж плиты оснований ПН-10</t>
  </si>
  <si>
    <t>Монтаж кольца ж/б КС10.6</t>
  </si>
  <si>
    <t>Монтаж плит перекрыития ПП 10-1</t>
  </si>
  <si>
    <t>Монтаж кольца ж/б КС7-9</t>
  </si>
  <si>
    <t>Монтаж кольца ж/б КС7-3,6</t>
  </si>
  <si>
    <t>Монтаж люка С(В125)ТС.2.7-60 с замком и крышкой шарнирно прикрепленной к корпусу</t>
  </si>
  <si>
    <r>
      <t xml:space="preserve">Монтаж закладной ЗД1 (труба </t>
    </r>
    <r>
      <rPr>
        <sz val="12"/>
        <rFont val="Calibri"/>
        <family val="2"/>
        <charset val="204"/>
      </rPr>
      <t>ø 133×5 L=200)</t>
    </r>
  </si>
  <si>
    <t>Устройство на перекрытии разуклонки  из цементно-песчаного раствора</t>
  </si>
  <si>
    <t>Устройство стяжки t=20 мм</t>
  </si>
  <si>
    <t>Обмазочная изоляция праймером</t>
  </si>
  <si>
    <t>Устройство гидроизоляции оклеечной рулонным материалом Техноэласт СОЛО в 1 слой</t>
  </si>
  <si>
    <t>Монтаж обратного клапана типа "Заслонка" Ду100</t>
  </si>
  <si>
    <t>Монтаж стремянки С1-11</t>
  </si>
  <si>
    <t>Итого: Устройство дренажного колодца КД1</t>
  </si>
  <si>
    <t>Итого: Устройство дренажного колодца КД2</t>
  </si>
  <si>
    <t>Устройство основания песчанного</t>
  </si>
  <si>
    <t>Монтаж задвижки стальной DN 100, PN 2.5 МПа (под приварку) (сталь 20Л)</t>
  </si>
  <si>
    <t>Прокладка трубопроводов из стальных бесшовных холоднодеформированных труб 76×4.0  (включая соединительные детали трубопроводов)</t>
  </si>
  <si>
    <t>Монтаж приварных скользящих опор 76×4.0-ТС-623.000-15</t>
  </si>
  <si>
    <t>Монтаж неподвижных хомутовых опор 76×4.0-ТС-659.00.00-04</t>
  </si>
  <si>
    <r>
      <t>Прокладка трубопроводов из стальных прямошовных электросварных труб 159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 xml:space="preserve">5.0  </t>
    </r>
  </si>
  <si>
    <r>
      <t>Прокладка трубопроводов из стальных прямошовных электросварных труб 133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 xml:space="preserve">5.0  </t>
    </r>
  </si>
  <si>
    <t xml:space="preserve">Прокладка трубопроводов из стальных бесшовных холоднодеформированных труб 108×4.0 </t>
  </si>
  <si>
    <t xml:space="preserve">Прокладка трубопроводов из стальных бесшовных холоднодеформированных труб 32×4.0 </t>
  </si>
  <si>
    <t>Монтаж отвода 90-108х4.0 - В-20</t>
  </si>
  <si>
    <t>Монтаж отвода 90-76х4.0- В-20</t>
  </si>
  <si>
    <t>Монтаж отвода 45-76х4.0- В-20</t>
  </si>
  <si>
    <t>Монтаж штуцера для ответвлений 76х5.0</t>
  </si>
  <si>
    <t>Монтаж заглушки 108х4- В-20</t>
  </si>
  <si>
    <t>Монтаж перехода приварного К-159×6-133×5- 09Г2С</t>
  </si>
  <si>
    <t>Окраска битумной мастикой за 2 раза</t>
  </si>
  <si>
    <t xml:space="preserve">Нанесение антикоррозионного покрытия трубопроводов (2 грунтовочных слоя мастики "Вектор 1025", 1 покрывной слой мастики "Вектор 1214") </t>
  </si>
  <si>
    <t>Нанесение антикоррозионного покрытия весьма усиленного типа (1 слой грунт-эмали "Изолэп-mastik", 2 слоя поливинилхлоридная изоляционной ленты типа ПВХ-БК, 1 слой пленки ПЭКОМ t=0,6мм)</t>
  </si>
  <si>
    <r>
      <t>Устройство тепловой изоляции трубопроводов: маты прошивные из минеральной (базальтовой) с покрытием стальная сетка ISOTEX Wired mat80: мат80-СМ-80/1000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2000 коэффициент уплотнения 1,3, толщина в конструкции 60 мм</t>
    </r>
  </si>
  <si>
    <r>
      <t>Устройство тепловой изоляции трубопроводов: маты прошивные из минеральной (базальтовой) с покрытием стальная сетка ISOTEX Wired mat80: мат80-СМ-50/1000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2000 коэффициент уплотнения 1,3, толщина в конструкции 40 мм</t>
    </r>
  </si>
  <si>
    <t>Итого: Прокладка трубопроводов</t>
  </si>
  <si>
    <t>Устройство стяжки из цементно-песчаного раствора  М100 t=20 мм</t>
  </si>
  <si>
    <t>Устройство на перекрытии разуклонки  из цементно-песчаного раствора М100 t=20-50 мм</t>
  </si>
  <si>
    <t>Устройство стяжки из цементно-песчанного раствора М200 по уклону с армированием сеткой С1 t=30-50 мм</t>
  </si>
  <si>
    <t>Устройство стяжки из цементно-песчанного раствора М200 по уклону с армированием сеткой С1 t=30-60 мм</t>
  </si>
  <si>
    <t>Устройство стяжки из цементно-песчаного раствора М100 t=20 мм</t>
  </si>
  <si>
    <t>Устройство на перекрытии разуклонки  из цементно-песчаного раствора М100 t=20-40 мм</t>
  </si>
  <si>
    <t>Заполнение деформационных швов шнуром "Тилит" d=40 мм</t>
  </si>
  <si>
    <r>
      <t>Монтаж нащельника из оцинкованной стали 1.00</t>
    </r>
    <r>
      <rPr>
        <sz val="12"/>
        <rFont val="Calibri"/>
        <family val="2"/>
        <charset val="204"/>
      </rPr>
      <t>×</t>
    </r>
    <r>
      <rPr>
        <sz val="12"/>
        <rFont val="Times New Roman"/>
        <family val="1"/>
        <charset val="204"/>
      </rPr>
      <t>300</t>
    </r>
  </si>
  <si>
    <t>Заполнение  деформационных швов битумно-резтновой мастикой МБР-ОС-Ч-150</t>
  </si>
  <si>
    <t>Кладка стен из кирпича КОРПО 1НФ/75/2.0/50</t>
  </si>
  <si>
    <t>УТ1-Н1</t>
  </si>
  <si>
    <t>Н1-УП1</t>
  </si>
  <si>
    <t>УП1-УП2</t>
  </si>
  <si>
    <t>УП2-УП3</t>
  </si>
  <si>
    <t>УП3-Н2</t>
  </si>
  <si>
    <t>Н2-УП4</t>
  </si>
  <si>
    <t>УП4-УП5</t>
  </si>
  <si>
    <t>УП5-Н3</t>
  </si>
  <si>
    <t>Длина</t>
  </si>
  <si>
    <t>Отметка пола канала</t>
  </si>
  <si>
    <t>Натурная отметка земли</t>
  </si>
  <si>
    <t>Начало участка</t>
  </si>
  <si>
    <t>Высота котлована</t>
  </si>
  <si>
    <t>Конец участка</t>
  </si>
  <si>
    <t>Н3-УТ2</t>
  </si>
  <si>
    <t>Средняя высота</t>
  </si>
  <si>
    <t>Объем траншеи</t>
  </si>
  <si>
    <t>Ширина дна таншеи</t>
  </si>
  <si>
    <t>Обратная засыпка труб от дренажных колодцев до тепловых камер песком</t>
  </si>
  <si>
    <t>комп</t>
  </si>
  <si>
    <t>Демонтаж тепловой камеры возле возводимой УТ2 (конструкции, трубопроводы, краны и т.д.)</t>
  </si>
  <si>
    <t>Раздел №1 Земляные работы</t>
  </si>
  <si>
    <t>Итого по разделу №1. Земляные работы</t>
  </si>
  <si>
    <t>Раздел №2 Демонтаж тепловой сети</t>
  </si>
  <si>
    <t>Итого по разделу №2. Демонтаж тепловой сети</t>
  </si>
  <si>
    <t>Раздел №3 Минимизация отключений отопления и горячего водоснабжения потребителей</t>
  </si>
  <si>
    <t>Устройство железобетонных стен для предотвращения попадания грунта  в часть не демонтируемого лотка</t>
  </si>
  <si>
    <t xml:space="preserve">Врезка в существующую сеть </t>
  </si>
  <si>
    <t xml:space="preserve">Получение разрешения на ввод в эксплуатацию </t>
  </si>
  <si>
    <t>3.1. Монтаж опор ОП1-ОП16</t>
  </si>
  <si>
    <t>3.2. Прокладка трубопровода</t>
  </si>
  <si>
    <t>Раздел №4 Сети теплоснабжения</t>
  </si>
  <si>
    <t>4.1. Монтаж лотков, плит, балок, опорных подушек</t>
  </si>
  <si>
    <t>4.2. Устройство монолитных участков</t>
  </si>
  <si>
    <t>4.3. Устройство камеры УТ1</t>
  </si>
  <si>
    <t>4.4. Устройство камеры УТ2</t>
  </si>
  <si>
    <t>4.5. Устройство дренажного колодца КД1</t>
  </si>
  <si>
    <t>4.6. Устройство дренажного колодца КД2</t>
  </si>
  <si>
    <t>4.7. Прокладка трубопроводов</t>
  </si>
  <si>
    <t>Раздел №5. Прочие работы</t>
  </si>
  <si>
    <t>Итого по разделу №5: Прочие работы</t>
  </si>
  <si>
    <t>Раздел №6. Дополнительные работы</t>
  </si>
  <si>
    <t>Итого по разделу №6: Дополнительные работы</t>
  </si>
  <si>
    <t>Итого по разделу №4  Сети теплоснабжения</t>
  </si>
  <si>
    <t>Демонтаж лотков (конструкции, трубопроводы, скользящие опоры и т.д) в местах устройства шпунтового ограждения и тепловых камер</t>
  </si>
  <si>
    <t>компл.</t>
  </si>
  <si>
    <t>Восстанавление каналов в местах примыкания к тепловым камерам УТ1, УТ2 (с помощью ранее демонтированных с этих каналов лотков и плит, восстановление гидроизоляции и узлов примыкания)</t>
  </si>
  <si>
    <t>Устройство узла проходки дренажной трубы (герметизация трубопровода в гильзе ЗД1 набивкой плетенной пропитанной жирным антифрикционным составом на основе нефтяных экстрактов грофитированная АП-31 42, зачеканка пазух цементно-песчанным раствором М100 и т.д)</t>
  </si>
  <si>
    <t>Устройство бетонной подготовки (согласно узлу на листе 2, в месте примыкания дна канала к стенам камер)</t>
  </si>
  <si>
    <t>Монтаж стального шарового крана "LD" под приварку КШ.Ц.П.Р.125.025.Н/П.02 Ру 2,5 МПа Ду125 (сталь 20) с ручным управлением - редуктор</t>
  </si>
  <si>
    <t>Монтаж стального шарового крана "LD" под приварку КШ.Ц.П.065.025.Н/П.02 Ру 2,5 МПа Ду65 (сталь 20) со стандартным штоком</t>
  </si>
  <si>
    <t>Монтаж стального шарового крана "LD" под приварку КШ.Ц.П.025.040.Н/П.02 Ру 4,0 МПа Ду 25 (сталь 20) со стандартным штоком</t>
  </si>
  <si>
    <t>Утепление участка тепловой сети (1 слой плиты из экструзионного пенополистирола t=30 мм, 2 слой хризотилцементные листы t=10 мм)</t>
  </si>
  <si>
    <t>Итого по разделу №3 Минимизация отключений отопления и горячего водоснабжения потребителей</t>
  </si>
  <si>
    <t>Многоквартирный многоэтажный жилой дом с объектами обслуживания жилой застройки, автостоянкой и трансформаторными подстанциями по ул. Кирова в Октябрьском районе г. Новосибирска на земельном участке площадью 10 574 (Десять тысяч пятьсот семьдесят четыре) квадратных метра, кадастровый номер: 54:35:074675:300. Адрес: установлено относительно ориентира, расположенного в границах участка. Ориентир здание. Почтовый адрес ориентира: Новосибирская область, г. Новосибирск, ул. Кирова,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</si>
</sst>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8" x14ac:knownFonts="1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Arial"/>
      <family val="2"/>
      <charset val="204"/>
    </font>
    <font>
      <i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Font="1" applyFill="1" applyAlignment="1">
      <alignment vertical="center" wrapText="1"/>
    </xf>
    <xf numFmtId="2" fontId="0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8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2" fillId="0" borderId="0" xfId="0" applyFont="1" applyFill="1" applyAlignment="1">
      <alignment vertical="center" wrapText="1"/>
    </xf>
    <xf numFmtId="2" fontId="12" fillId="0" borderId="0" xfId="0" applyNumberFormat="1" applyFont="1" applyFill="1" applyAlignment="1">
      <alignment vertical="center" wrapText="1"/>
    </xf>
    <xf numFmtId="0" fontId="10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/>
    <xf numFmtId="0" fontId="6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vertical="top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5" borderId="9" xfId="0" applyFont="1" applyFill="1" applyBorder="1" applyAlignment="1">
      <alignment vertical="center"/>
    </xf>
    <xf numFmtId="0" fontId="6" fillId="5" borderId="5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Continuous" vertical="center" wrapText="1"/>
    </xf>
    <xf numFmtId="0" fontId="6" fillId="6" borderId="8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0" fontId="6" fillId="7" borderId="7" xfId="0" applyFont="1" applyFill="1" applyBorder="1" applyAlignment="1">
      <alignment vertical="center"/>
    </xf>
    <xf numFmtId="0" fontId="6" fillId="7" borderId="6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/>
    </xf>
    <xf numFmtId="0" fontId="6" fillId="7" borderId="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horizontal="center" vertical="center" wrapText="1"/>
    </xf>
    <xf numFmtId="4" fontId="6" fillId="7" borderId="5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9" xfId="0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7" fillId="0" borderId="0" xfId="0" applyNumberFormat="1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4" borderId="7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2" fontId="11" fillId="0" borderId="3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4"/>
  <sheetViews>
    <sheetView tabSelected="1" view="pageBreakPreview" zoomScale="115" zoomScaleNormal="115" zoomScaleSheetLayoutView="115" workbookViewId="0">
      <selection activeCell="I15" sqref="I15"/>
    </sheetView>
  </sheetViews>
  <sheetFormatPr defaultRowHeight="15" x14ac:dyDescent="0.25"/>
  <cols>
    <col min="1" max="1" width="5.85546875" customWidth="1"/>
    <col min="2" max="2" width="63.5703125" customWidth="1"/>
    <col min="3" max="3" width="10.140625" customWidth="1"/>
    <col min="4" max="4" width="13" customWidth="1"/>
    <col min="5" max="5" width="14" customWidth="1"/>
    <col min="6" max="6" width="13.5703125" customWidth="1"/>
    <col min="7" max="7" width="18.140625" customWidth="1"/>
    <col min="8" max="8" width="18.42578125" customWidth="1"/>
    <col min="9" max="9" width="20.85546875" customWidth="1"/>
    <col min="11" max="11" width="13" customWidth="1"/>
  </cols>
  <sheetData>
    <row r="1" spans="1:9" x14ac:dyDescent="0.25">
      <c r="A1" s="30"/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7" t="s">
        <v>2</v>
      </c>
      <c r="B2" s="38"/>
      <c r="C2" s="39"/>
      <c r="D2" s="40"/>
      <c r="E2" s="40"/>
      <c r="F2" s="40"/>
      <c r="G2" s="42" t="s">
        <v>3</v>
      </c>
      <c r="I2" s="41"/>
    </row>
    <row r="3" spans="1:9" x14ac:dyDescent="0.25">
      <c r="A3" s="38" t="s">
        <v>15</v>
      </c>
      <c r="B3" s="38"/>
      <c r="C3" s="39"/>
      <c r="D3" s="40"/>
      <c r="E3" s="40"/>
      <c r="F3" s="40"/>
      <c r="G3" s="38" t="s">
        <v>27</v>
      </c>
      <c r="I3" s="41"/>
    </row>
    <row r="4" spans="1:9" x14ac:dyDescent="0.25">
      <c r="A4" s="38"/>
      <c r="B4" s="38"/>
      <c r="C4" s="39"/>
      <c r="D4" s="40"/>
      <c r="E4" s="40"/>
      <c r="F4" s="40"/>
      <c r="G4" s="41"/>
      <c r="H4" s="38"/>
      <c r="I4" s="41"/>
    </row>
    <row r="5" spans="1:9" x14ac:dyDescent="0.25">
      <c r="A5" s="38" t="s">
        <v>26</v>
      </c>
      <c r="B5" s="38"/>
      <c r="C5" s="39"/>
      <c r="D5" s="40"/>
      <c r="E5" s="40"/>
      <c r="F5" s="40"/>
      <c r="G5" s="49" t="s">
        <v>28</v>
      </c>
      <c r="H5" s="49"/>
      <c r="I5" s="41"/>
    </row>
    <row r="6" spans="1:9" x14ac:dyDescent="0.25">
      <c r="A6" s="38" t="s">
        <v>20</v>
      </c>
      <c r="B6" s="38"/>
      <c r="C6" s="39"/>
      <c r="D6" s="40"/>
      <c r="E6" s="40"/>
      <c r="F6" s="40"/>
      <c r="G6" s="38" t="s">
        <v>21</v>
      </c>
      <c r="I6" s="41"/>
    </row>
    <row r="7" spans="1:9" x14ac:dyDescent="0.25">
      <c r="A7" s="3"/>
      <c r="B7" s="1"/>
      <c r="C7" s="4"/>
      <c r="D7" s="1"/>
      <c r="E7" s="1"/>
      <c r="F7" s="1"/>
      <c r="G7" s="2"/>
      <c r="H7" s="1"/>
      <c r="I7" s="2"/>
    </row>
    <row r="8" spans="1:9" ht="48.75" customHeight="1" x14ac:dyDescent="0.25">
      <c r="A8" s="125" t="s">
        <v>199</v>
      </c>
      <c r="B8" s="125"/>
      <c r="C8" s="125"/>
      <c r="D8" s="125"/>
      <c r="E8" s="125"/>
      <c r="F8" s="125"/>
      <c r="G8" s="125"/>
      <c r="H8" s="125"/>
      <c r="I8" s="125"/>
    </row>
    <row r="9" spans="1:9" x14ac:dyDescent="0.25">
      <c r="A9" s="5"/>
      <c r="B9" s="130" t="s">
        <v>4</v>
      </c>
      <c r="C9" s="130"/>
      <c r="D9" s="130"/>
      <c r="E9" s="130"/>
      <c r="F9" s="130"/>
      <c r="G9" s="130"/>
      <c r="H9" s="130"/>
      <c r="I9" s="130"/>
    </row>
    <row r="10" spans="1:9" x14ac:dyDescent="0.25">
      <c r="A10" s="5"/>
      <c r="B10" s="6"/>
      <c r="C10" s="7"/>
      <c r="D10" s="8"/>
      <c r="E10" s="9"/>
      <c r="F10" s="10"/>
      <c r="G10" s="10"/>
      <c r="H10" s="10"/>
      <c r="I10" s="10"/>
    </row>
    <row r="11" spans="1:9" ht="15.75" x14ac:dyDescent="0.25">
      <c r="A11" s="131" t="s">
        <v>29</v>
      </c>
      <c r="B11" s="131"/>
      <c r="C11" s="131"/>
      <c r="D11" s="131"/>
      <c r="E11" s="131"/>
      <c r="F11" s="131"/>
      <c r="G11" s="131"/>
      <c r="H11" s="131"/>
      <c r="I11" s="131"/>
    </row>
    <row r="12" spans="1:9" x14ac:dyDescent="0.25">
      <c r="A12" s="5"/>
      <c r="B12" s="6"/>
      <c r="C12" s="7"/>
      <c r="D12" s="8"/>
      <c r="E12" s="9"/>
      <c r="F12" s="10"/>
      <c r="G12" s="10" t="s">
        <v>5</v>
      </c>
      <c r="H12" s="10"/>
      <c r="I12" s="10"/>
    </row>
    <row r="13" spans="1:9" s="47" customFormat="1" ht="12.75" x14ac:dyDescent="0.2">
      <c r="A13" s="46" t="s">
        <v>23</v>
      </c>
      <c r="B13" s="129" t="s">
        <v>55</v>
      </c>
      <c r="C13" s="129"/>
      <c r="D13" s="129"/>
      <c r="E13" s="129"/>
      <c r="F13" s="129"/>
      <c r="G13" s="129"/>
      <c r="H13" s="129"/>
      <c r="I13" s="129"/>
    </row>
    <row r="14" spans="1:9" x14ac:dyDescent="0.25">
      <c r="A14" s="5"/>
      <c r="B14" s="132" t="s">
        <v>6</v>
      </c>
      <c r="C14" s="132"/>
      <c r="D14" s="132"/>
      <c r="E14" s="132"/>
      <c r="F14" s="132"/>
      <c r="G14" s="132"/>
      <c r="H14" s="132"/>
      <c r="I14" s="132"/>
    </row>
    <row r="15" spans="1:9" x14ac:dyDescent="0.25">
      <c r="A15" s="11"/>
      <c r="B15" s="12"/>
      <c r="C15" s="7"/>
      <c r="D15" s="8"/>
      <c r="E15" s="9"/>
      <c r="F15" s="10"/>
      <c r="G15" s="10"/>
      <c r="H15" s="10"/>
      <c r="I15" s="10"/>
    </row>
    <row r="16" spans="1:9" x14ac:dyDescent="0.25">
      <c r="A16" s="13"/>
      <c r="B16" s="13"/>
      <c r="C16" s="13"/>
      <c r="D16" s="13"/>
      <c r="E16" s="13"/>
      <c r="F16" s="13"/>
      <c r="G16" s="13"/>
      <c r="H16" s="13"/>
      <c r="I16" s="13"/>
    </row>
    <row r="17" spans="1:13" x14ac:dyDescent="0.25">
      <c r="A17" s="122" t="s">
        <v>7</v>
      </c>
      <c r="B17" s="122" t="s">
        <v>8</v>
      </c>
      <c r="C17" s="122" t="s">
        <v>9</v>
      </c>
      <c r="D17" s="122" t="s">
        <v>10</v>
      </c>
      <c r="E17" s="122" t="s">
        <v>31</v>
      </c>
      <c r="F17" s="122"/>
      <c r="G17" s="122" t="s">
        <v>32</v>
      </c>
      <c r="H17" s="122"/>
      <c r="I17" s="123" t="s">
        <v>11</v>
      </c>
    </row>
    <row r="18" spans="1:13" x14ac:dyDescent="0.25">
      <c r="A18" s="122"/>
      <c r="B18" s="122"/>
      <c r="C18" s="122"/>
      <c r="D18" s="122"/>
      <c r="E18" s="107" t="s">
        <v>13</v>
      </c>
      <c r="F18" s="107" t="s">
        <v>12</v>
      </c>
      <c r="G18" s="107" t="s">
        <v>13</v>
      </c>
      <c r="H18" s="107" t="s">
        <v>12</v>
      </c>
      <c r="I18" s="124"/>
    </row>
    <row r="19" spans="1:13" ht="15.75" x14ac:dyDescent="0.25">
      <c r="A19" s="104" t="s">
        <v>166</v>
      </c>
      <c r="B19" s="105"/>
      <c r="C19" s="105"/>
      <c r="D19" s="105"/>
      <c r="E19" s="105"/>
      <c r="F19" s="105"/>
      <c r="G19" s="105"/>
      <c r="H19" s="105"/>
      <c r="I19" s="106"/>
    </row>
    <row r="20" spans="1:13" ht="15.75" x14ac:dyDescent="0.25">
      <c r="A20" s="17"/>
      <c r="B20" s="18" t="s">
        <v>19</v>
      </c>
      <c r="C20" s="17" t="s">
        <v>1</v>
      </c>
      <c r="D20" s="19">
        <f>((3.25+0.6*2)*(3.4+0.6*2)+(3.25+0.6*2+1.5*2)*(3.4+0.6*2+1.5*2)+SQRT((3.25+0.6*2)*(3.4+0.6*2)*(3.25+0.6*2+1.5*2)*(3.4+0.6*2+1.5*2)))/3*3.66+N("камера УТ1")+
((0.78+0.3*2)+(0.78+0.3*2+1*2))/2*2.34*2+N("сущ. канал подходящий к камере УТ1")+
((3.25+0.6*2)*(2.8+0.6*2)+(3.25+0.6*2+1.5*2)*(2.8+0.6*2+1.5*2)+SQRT((3.25+0.6*2)*(2.8+0.6*2)*(3.25+0.6*2+1.5*2)*(2.8+0.6*2+1.5*2)))/3*3.26+N("камера УТ2")+
((0.78+0.3*2)+(0.78+0.3*2+1*2))/2*2.07*2+N("сущ. канал подходящий к камере УТ2")+
((0.7+0.3*2)+(0.78+0.3*2+1*2))/2*1.8*118.2+N("лотки")+
((1.5+0.6*2)^2+(1.5+0.6*2+1.8*2)^2+SQRT((1.5+0.6*2)^2*(1.5+0.6*2+1.8*2)^2))/3*4.11*2+N("дренажные колодцы")+
((0.78+0.3*2)+(0.78+0.3*2+1*2))/2*2*(10.1+7.75+3+21.55+6.5)+N("траншея для демонтажа лотков чтобы сделать шпунты")+
(135-36.5)+N("демонтируемая камера")</f>
        <v>1270.1507686652594</v>
      </c>
      <c r="E20" s="19">
        <v>0</v>
      </c>
      <c r="F20" s="19">
        <v>0</v>
      </c>
      <c r="G20" s="19">
        <f t="shared" ref="G20:G23" si="0">D20*E20</f>
        <v>0</v>
      </c>
      <c r="H20" s="19">
        <f t="shared" ref="H20:H23" si="1">D20*F20</f>
        <v>0</v>
      </c>
      <c r="I20" s="19">
        <f t="shared" ref="I20:I23" si="2">G20+H20</f>
        <v>0</v>
      </c>
    </row>
    <row r="21" spans="1:13" ht="15.75" x14ac:dyDescent="0.25">
      <c r="A21" s="17"/>
      <c r="B21" s="18" t="s">
        <v>24</v>
      </c>
      <c r="C21" s="17" t="s">
        <v>1</v>
      </c>
      <c r="D21" s="28">
        <f>D20-D23</f>
        <v>87.276923600000146</v>
      </c>
      <c r="E21" s="19">
        <v>0</v>
      </c>
      <c r="F21" s="19">
        <v>0</v>
      </c>
      <c r="G21" s="19">
        <f t="shared" si="0"/>
        <v>0</v>
      </c>
      <c r="H21" s="19">
        <f t="shared" si="1"/>
        <v>0</v>
      </c>
      <c r="I21" s="19">
        <f t="shared" si="2"/>
        <v>0</v>
      </c>
    </row>
    <row r="22" spans="1:13" ht="31.5" x14ac:dyDescent="0.25">
      <c r="A22" s="17"/>
      <c r="B22" s="18" t="s">
        <v>163</v>
      </c>
      <c r="C22" s="17" t="s">
        <v>1</v>
      </c>
      <c r="D22" s="28">
        <f>(0.508+(0.508*0.2*2))/2*0.458*(2+2)</f>
        <v>0.65145920000000013</v>
      </c>
      <c r="E22" s="19">
        <v>0</v>
      </c>
      <c r="F22" s="19">
        <v>0</v>
      </c>
      <c r="G22" s="19">
        <f t="shared" si="0"/>
        <v>0</v>
      </c>
      <c r="H22" s="19">
        <f t="shared" si="1"/>
        <v>0</v>
      </c>
      <c r="I22" s="19">
        <f t="shared" si="2"/>
        <v>0</v>
      </c>
      <c r="K22" s="90"/>
    </row>
    <row r="23" spans="1:13" ht="15.75" x14ac:dyDescent="0.25">
      <c r="A23" s="17"/>
      <c r="B23" s="18" t="s">
        <v>33</v>
      </c>
      <c r="C23" s="17" t="s">
        <v>1</v>
      </c>
      <c r="D23" s="19">
        <f>D20-
(((0.78+0.1*2)*0.1+0.78*(0.53+0.02+0.12))*118.2+N("объем лотков")+
(3.25+0.1*2)*(3.4+0.1*2)*(0.3+0.1)+(3.25*3.4)*(0.3+2.4+0.12)+0.25*3.14*0.84*0.84*(0.29+0.01+0.07)*2+N("объем камеры УТ1")+
(3.25+0.1*2)*(2.8+0.1*2)*(0.3+0.1)+(3.25*2.8)*(0.3+2+0.14)+0.25*3.14*0.84*0.84*(0.29+0.01+0.07)*2+N("объем камеры УТ1")+
((1.5+0.1*2)*(1.5+0.1*2)*0.3+0.25*3.14*1.5*1.5*0.1+0.25*3.14*1.16*1.16*(0.6*4+0.15)+0.25*3.14*0.84*0.84*(0.9+0.36))*2+N("дренажные колодцы"))+
0.78*(0.43+0.02+0.12)*(10.1+7.75+3+21.55+6.5)+N("объем демонтированных лотков")+
36.5+N("демонтируемая камера")</f>
        <v>1182.8738450652593</v>
      </c>
      <c r="E23" s="19">
        <v>0</v>
      </c>
      <c r="F23" s="19">
        <v>0</v>
      </c>
      <c r="G23" s="19">
        <f t="shared" si="0"/>
        <v>0</v>
      </c>
      <c r="H23" s="19">
        <f t="shared" si="1"/>
        <v>0</v>
      </c>
      <c r="I23" s="19">
        <f t="shared" si="2"/>
        <v>0</v>
      </c>
      <c r="M23" s="91"/>
    </row>
    <row r="24" spans="1:13" ht="15.75" x14ac:dyDescent="0.25">
      <c r="A24" s="108" t="s">
        <v>167</v>
      </c>
      <c r="B24" s="109"/>
      <c r="C24" s="110"/>
      <c r="D24" s="110"/>
      <c r="E24" s="111"/>
      <c r="F24" s="111"/>
      <c r="G24" s="112">
        <f>SUM(G20:G23)</f>
        <v>0</v>
      </c>
      <c r="H24" s="112">
        <f t="shared" ref="H24:I24" si="3">SUM(H20:H23)</f>
        <v>0</v>
      </c>
      <c r="I24" s="112">
        <f t="shared" si="3"/>
        <v>0</v>
      </c>
      <c r="K24">
        <f>(3.25+0.1*2)*(3.4+0.1*2)*(0.3+0.1)+(3.25*3.4)*(0.3+2.4+0.12)+0.25*3.14*0.84*0.84*(0.29+0.01+0.07)*2+N("объем камеры УТ1")</f>
        <v>36.538883039999995</v>
      </c>
    </row>
    <row r="25" spans="1:13" ht="15.75" x14ac:dyDescent="0.25">
      <c r="A25" s="71" t="s">
        <v>168</v>
      </c>
      <c r="B25" s="72"/>
      <c r="C25" s="72"/>
      <c r="D25" s="72"/>
      <c r="E25" s="72"/>
      <c r="F25" s="72"/>
      <c r="G25" s="72"/>
      <c r="H25" s="72"/>
      <c r="I25" s="73"/>
    </row>
    <row r="26" spans="1:13" ht="31.5" x14ac:dyDescent="0.25">
      <c r="A26" s="17"/>
      <c r="B26" s="18" t="s">
        <v>165</v>
      </c>
      <c r="C26" s="17" t="s">
        <v>164</v>
      </c>
      <c r="D26" s="19">
        <v>1</v>
      </c>
      <c r="E26" s="19">
        <v>0</v>
      </c>
      <c r="F26" s="19">
        <v>0</v>
      </c>
      <c r="G26" s="19">
        <f t="shared" ref="G26:G28" si="4">D26*E26</f>
        <v>0</v>
      </c>
      <c r="H26" s="19">
        <f t="shared" ref="H26:H28" si="5">D26*F26</f>
        <v>0</v>
      </c>
      <c r="I26" s="19">
        <f t="shared" ref="I26:I28" si="6">G26+H26</f>
        <v>0</v>
      </c>
    </row>
    <row r="27" spans="1:13" ht="47.25" x14ac:dyDescent="0.25">
      <c r="A27" s="17"/>
      <c r="B27" s="18" t="s">
        <v>189</v>
      </c>
      <c r="C27" s="17" t="s">
        <v>39</v>
      </c>
      <c r="D27" s="19">
        <f>10.1+7.75+3+21.55+6.5</f>
        <v>48.900000000000006</v>
      </c>
      <c r="E27" s="19">
        <v>0</v>
      </c>
      <c r="F27" s="19">
        <v>0</v>
      </c>
      <c r="G27" s="19">
        <f t="shared" si="4"/>
        <v>0</v>
      </c>
      <c r="H27" s="19">
        <f t="shared" si="5"/>
        <v>0</v>
      </c>
      <c r="I27" s="19">
        <f t="shared" si="6"/>
        <v>0</v>
      </c>
    </row>
    <row r="28" spans="1:13" ht="31.5" x14ac:dyDescent="0.25">
      <c r="A28" s="17"/>
      <c r="B28" s="18" t="s">
        <v>171</v>
      </c>
      <c r="C28" s="17" t="s">
        <v>0</v>
      </c>
      <c r="D28" s="19">
        <v>4</v>
      </c>
      <c r="E28" s="19">
        <v>0</v>
      </c>
      <c r="F28" s="19">
        <v>0</v>
      </c>
      <c r="G28" s="19">
        <f t="shared" si="4"/>
        <v>0</v>
      </c>
      <c r="H28" s="19">
        <f t="shared" si="5"/>
        <v>0</v>
      </c>
      <c r="I28" s="19">
        <f t="shared" si="6"/>
        <v>0</v>
      </c>
    </row>
    <row r="29" spans="1:13" ht="63" x14ac:dyDescent="0.25">
      <c r="A29" s="17"/>
      <c r="B29" s="18" t="s">
        <v>191</v>
      </c>
      <c r="C29" s="17" t="s">
        <v>190</v>
      </c>
      <c r="D29" s="19">
        <v>2</v>
      </c>
      <c r="E29" s="19">
        <v>0</v>
      </c>
      <c r="F29" s="19">
        <v>0</v>
      </c>
      <c r="G29" s="19">
        <f t="shared" ref="G29" si="7">D29*E29</f>
        <v>0</v>
      </c>
      <c r="H29" s="19">
        <f t="shared" ref="H29" si="8">D29*F29</f>
        <v>0</v>
      </c>
      <c r="I29" s="19">
        <f t="shared" ref="I29" si="9">G29+H29</f>
        <v>0</v>
      </c>
    </row>
    <row r="30" spans="1:13" ht="15.75" x14ac:dyDescent="0.25">
      <c r="A30" s="74" t="s">
        <v>169</v>
      </c>
      <c r="B30" s="75"/>
      <c r="C30" s="76"/>
      <c r="D30" s="76"/>
      <c r="E30" s="77"/>
      <c r="F30" s="77"/>
      <c r="G30" s="78">
        <f>SUM(G26:G29)</f>
        <v>0</v>
      </c>
      <c r="H30" s="78">
        <f>SUM(H26:H29)</f>
        <v>0</v>
      </c>
      <c r="I30" s="78">
        <f>SUM(I26:I29)</f>
        <v>0</v>
      </c>
    </row>
    <row r="31" spans="1:13" ht="15.75" x14ac:dyDescent="0.25">
      <c r="A31" s="61" t="s">
        <v>170</v>
      </c>
      <c r="B31" s="62"/>
      <c r="C31" s="62"/>
      <c r="D31" s="62"/>
      <c r="E31" s="62"/>
      <c r="F31" s="62"/>
      <c r="G31" s="62"/>
      <c r="H31" s="62"/>
      <c r="I31" s="63"/>
    </row>
    <row r="32" spans="1:13" ht="15.75" x14ac:dyDescent="0.25">
      <c r="A32" s="121" t="s">
        <v>174</v>
      </c>
      <c r="B32" s="121"/>
      <c r="C32" s="121"/>
      <c r="D32" s="121"/>
      <c r="E32" s="121"/>
      <c r="F32" s="121"/>
      <c r="G32" s="121"/>
      <c r="H32" s="121"/>
      <c r="I32" s="121"/>
    </row>
    <row r="33" spans="1:11" ht="15.75" x14ac:dyDescent="0.25">
      <c r="A33" s="17"/>
      <c r="B33" s="29" t="s">
        <v>34</v>
      </c>
      <c r="C33" s="14" t="s">
        <v>1</v>
      </c>
      <c r="D33" s="16">
        <f>0.07*16</f>
        <v>1.1200000000000001</v>
      </c>
      <c r="E33" s="19">
        <v>0</v>
      </c>
      <c r="F33" s="16">
        <v>0</v>
      </c>
      <c r="G33" s="19">
        <f t="shared" ref="G33" si="10">D33*E33</f>
        <v>0</v>
      </c>
      <c r="H33" s="19">
        <f t="shared" ref="H33" si="11">D33*F33</f>
        <v>0</v>
      </c>
      <c r="I33" s="19">
        <f t="shared" ref="I33" si="12">G33+H33</f>
        <v>0</v>
      </c>
    </row>
    <row r="34" spans="1:11" ht="15.75" x14ac:dyDescent="0.25">
      <c r="A34" s="17"/>
      <c r="B34" s="29" t="s">
        <v>35</v>
      </c>
      <c r="C34" s="14" t="s">
        <v>0</v>
      </c>
      <c r="D34" s="82">
        <v>16</v>
      </c>
      <c r="E34" s="19">
        <v>0</v>
      </c>
      <c r="F34" s="16">
        <v>0</v>
      </c>
      <c r="G34" s="19">
        <f t="shared" ref="G34" si="13">D34*E34</f>
        <v>0</v>
      </c>
      <c r="H34" s="19">
        <f t="shared" ref="H34" si="14">D34*F34</f>
        <v>0</v>
      </c>
      <c r="I34" s="19">
        <f t="shared" ref="I34" si="15">G34+H34</f>
        <v>0</v>
      </c>
    </row>
    <row r="35" spans="1:11" ht="15.75" x14ac:dyDescent="0.25">
      <c r="A35" s="45"/>
      <c r="B35" s="20" t="s">
        <v>36</v>
      </c>
      <c r="C35" s="21"/>
      <c r="D35" s="21"/>
      <c r="E35" s="22"/>
      <c r="F35" s="23"/>
      <c r="G35" s="23">
        <f>SUM(G33:G34)</f>
        <v>0</v>
      </c>
      <c r="H35" s="23">
        <f t="shared" ref="H35:I35" si="16">SUM(H33:H34)</f>
        <v>0</v>
      </c>
      <c r="I35" s="23">
        <f t="shared" si="16"/>
        <v>0</v>
      </c>
    </row>
    <row r="36" spans="1:11" ht="15.75" x14ac:dyDescent="0.25">
      <c r="A36" s="126" t="s">
        <v>175</v>
      </c>
      <c r="B36" s="127"/>
      <c r="C36" s="127"/>
      <c r="D36" s="127"/>
      <c r="E36" s="127"/>
      <c r="F36" s="127"/>
      <c r="G36" s="127"/>
      <c r="H36" s="127"/>
      <c r="I36" s="128"/>
    </row>
    <row r="37" spans="1:11" ht="15.75" x14ac:dyDescent="0.25">
      <c r="A37" s="17"/>
      <c r="B37" s="15" t="s">
        <v>38</v>
      </c>
      <c r="C37" s="24" t="s">
        <v>0</v>
      </c>
      <c r="D37" s="88">
        <v>32</v>
      </c>
      <c r="E37" s="19">
        <v>0</v>
      </c>
      <c r="F37" s="16">
        <v>0</v>
      </c>
      <c r="G37" s="19">
        <f t="shared" ref="G37" si="17">D37*E37</f>
        <v>0</v>
      </c>
      <c r="H37" s="19">
        <f t="shared" ref="H37" si="18">D37*F37</f>
        <v>0</v>
      </c>
      <c r="I37" s="19">
        <f t="shared" ref="I37" si="19">G37+H37</f>
        <v>0</v>
      </c>
    </row>
    <row r="38" spans="1:11" ht="47.25" x14ac:dyDescent="0.25">
      <c r="A38" s="17"/>
      <c r="B38" s="15" t="s">
        <v>40</v>
      </c>
      <c r="C38" s="24" t="s">
        <v>0</v>
      </c>
      <c r="D38" s="88">
        <f>2*6</f>
        <v>12</v>
      </c>
      <c r="E38" s="19">
        <v>0</v>
      </c>
      <c r="F38" s="16">
        <v>0</v>
      </c>
      <c r="G38" s="19">
        <f t="shared" ref="G38:G47" si="20">D38*E38</f>
        <v>0</v>
      </c>
      <c r="H38" s="19">
        <f t="shared" ref="H38:H47" si="21">D38*F38</f>
        <v>0</v>
      </c>
      <c r="I38" s="19">
        <f t="shared" ref="I38:I47" si="22">G38+H38</f>
        <v>0</v>
      </c>
      <c r="K38" s="91"/>
    </row>
    <row r="39" spans="1:11" ht="47.25" x14ac:dyDescent="0.25">
      <c r="A39" s="17"/>
      <c r="B39" s="15" t="s">
        <v>41</v>
      </c>
      <c r="C39" s="24" t="s">
        <v>0</v>
      </c>
      <c r="D39" s="88">
        <f>4+2+4+2+4+2</f>
        <v>18</v>
      </c>
      <c r="E39" s="19">
        <v>0</v>
      </c>
      <c r="F39" s="16">
        <v>0</v>
      </c>
      <c r="G39" s="19">
        <f t="shared" si="20"/>
        <v>0</v>
      </c>
      <c r="H39" s="19">
        <f t="shared" si="21"/>
        <v>0</v>
      </c>
      <c r="I39" s="19">
        <f t="shared" si="22"/>
        <v>0</v>
      </c>
    </row>
    <row r="40" spans="1:11" ht="47.25" x14ac:dyDescent="0.25">
      <c r="A40" s="17"/>
      <c r="B40" s="15" t="s">
        <v>42</v>
      </c>
      <c r="C40" s="24" t="s">
        <v>39</v>
      </c>
      <c r="D40" s="88">
        <v>122</v>
      </c>
      <c r="E40" s="19">
        <v>0</v>
      </c>
      <c r="F40" s="16">
        <v>0</v>
      </c>
      <c r="G40" s="19">
        <f t="shared" si="20"/>
        <v>0</v>
      </c>
      <c r="H40" s="19">
        <f t="shared" si="21"/>
        <v>0</v>
      </c>
      <c r="I40" s="19">
        <f t="shared" si="22"/>
        <v>0</v>
      </c>
    </row>
    <row r="41" spans="1:11" ht="47.25" x14ac:dyDescent="0.25">
      <c r="A41" s="17"/>
      <c r="B41" s="15" t="s">
        <v>43</v>
      </c>
      <c r="C41" s="24" t="s">
        <v>39</v>
      </c>
      <c r="D41" s="88">
        <f>4+2+4+2+4+2</f>
        <v>18</v>
      </c>
      <c r="E41" s="19">
        <v>0</v>
      </c>
      <c r="F41" s="16">
        <v>0</v>
      </c>
      <c r="G41" s="19">
        <f t="shared" si="20"/>
        <v>0</v>
      </c>
      <c r="H41" s="19">
        <f t="shared" si="21"/>
        <v>0</v>
      </c>
      <c r="I41" s="19">
        <f t="shared" si="22"/>
        <v>0</v>
      </c>
    </row>
    <row r="42" spans="1:11" ht="15.75" x14ac:dyDescent="0.25">
      <c r="A42" s="17"/>
      <c r="B42" s="15" t="s">
        <v>44</v>
      </c>
      <c r="C42" s="24" t="s">
        <v>0</v>
      </c>
      <c r="D42" s="88">
        <f>2*6+3*2</f>
        <v>18</v>
      </c>
      <c r="E42" s="19">
        <v>0</v>
      </c>
      <c r="F42" s="16">
        <v>0</v>
      </c>
      <c r="G42" s="19">
        <f t="shared" si="20"/>
        <v>0</v>
      </c>
      <c r="H42" s="19">
        <f t="shared" si="21"/>
        <v>0</v>
      </c>
      <c r="I42" s="19">
        <f t="shared" si="22"/>
        <v>0</v>
      </c>
    </row>
    <row r="43" spans="1:11" ht="15.75" x14ac:dyDescent="0.25">
      <c r="A43" s="17"/>
      <c r="B43" s="15" t="s">
        <v>50</v>
      </c>
      <c r="C43" s="24" t="s">
        <v>0</v>
      </c>
      <c r="D43" s="88">
        <v>2</v>
      </c>
      <c r="E43" s="19">
        <v>0</v>
      </c>
      <c r="F43" s="16">
        <v>0</v>
      </c>
      <c r="G43" s="19">
        <f t="shared" ref="G43" si="23">D43*E43</f>
        <v>0</v>
      </c>
      <c r="H43" s="19">
        <f t="shared" ref="H43" si="24">D43*F43</f>
        <v>0</v>
      </c>
      <c r="I43" s="19">
        <f t="shared" ref="I43" si="25">G43+H43</f>
        <v>0</v>
      </c>
    </row>
    <row r="44" spans="1:11" ht="15.75" x14ac:dyDescent="0.25">
      <c r="A44" s="17"/>
      <c r="B44" s="15" t="s">
        <v>45</v>
      </c>
      <c r="C44" s="24" t="s">
        <v>0</v>
      </c>
      <c r="D44" s="88">
        <f>6+2+6+2+6+2</f>
        <v>24</v>
      </c>
      <c r="E44" s="19">
        <v>0</v>
      </c>
      <c r="F44" s="16">
        <v>0</v>
      </c>
      <c r="G44" s="19">
        <f t="shared" si="20"/>
        <v>0</v>
      </c>
      <c r="H44" s="19">
        <f t="shared" si="21"/>
        <v>0</v>
      </c>
      <c r="I44" s="19">
        <f t="shared" si="22"/>
        <v>0</v>
      </c>
    </row>
    <row r="45" spans="1:11" ht="31.5" x14ac:dyDescent="0.25">
      <c r="A45" s="17"/>
      <c r="B45" s="15" t="s">
        <v>46</v>
      </c>
      <c r="C45" s="24" t="s">
        <v>0</v>
      </c>
      <c r="D45" s="88">
        <f>2*4</f>
        <v>8</v>
      </c>
      <c r="E45" s="19">
        <v>0</v>
      </c>
      <c r="F45" s="16">
        <v>0</v>
      </c>
      <c r="G45" s="19">
        <f t="shared" si="20"/>
        <v>0</v>
      </c>
      <c r="H45" s="19">
        <f t="shared" si="21"/>
        <v>0</v>
      </c>
      <c r="I45" s="19">
        <f t="shared" si="22"/>
        <v>0</v>
      </c>
    </row>
    <row r="46" spans="1:11" ht="31.5" x14ac:dyDescent="0.25">
      <c r="A46" s="17"/>
      <c r="B46" s="15" t="s">
        <v>48</v>
      </c>
      <c r="C46" s="24" t="s">
        <v>0</v>
      </c>
      <c r="D46" s="88">
        <f>2*2</f>
        <v>4</v>
      </c>
      <c r="E46" s="19">
        <v>0</v>
      </c>
      <c r="F46" s="16">
        <v>0</v>
      </c>
      <c r="G46" s="19">
        <f t="shared" ref="G46" si="26">D46*E46</f>
        <v>0</v>
      </c>
      <c r="H46" s="19">
        <f t="shared" ref="H46" si="27">D46*F46</f>
        <v>0</v>
      </c>
      <c r="I46" s="19">
        <f t="shared" ref="I46" si="28">G46+H46</f>
        <v>0</v>
      </c>
    </row>
    <row r="47" spans="1:11" ht="31.5" x14ac:dyDescent="0.25">
      <c r="A47" s="17"/>
      <c r="B47" s="15" t="s">
        <v>47</v>
      </c>
      <c r="C47" s="24" t="s">
        <v>0</v>
      </c>
      <c r="D47" s="88">
        <f>2*4</f>
        <v>8</v>
      </c>
      <c r="E47" s="19">
        <v>0</v>
      </c>
      <c r="F47" s="16">
        <v>0</v>
      </c>
      <c r="G47" s="19">
        <f t="shared" si="20"/>
        <v>0</v>
      </c>
      <c r="H47" s="19">
        <f t="shared" si="21"/>
        <v>0</v>
      </c>
      <c r="I47" s="19">
        <f t="shared" si="22"/>
        <v>0</v>
      </c>
    </row>
    <row r="48" spans="1:11" ht="15.75" x14ac:dyDescent="0.25">
      <c r="A48" s="17"/>
      <c r="B48" s="15" t="s">
        <v>49</v>
      </c>
      <c r="C48" s="24" t="s">
        <v>0</v>
      </c>
      <c r="D48" s="88">
        <v>4</v>
      </c>
      <c r="E48" s="19">
        <v>0</v>
      </c>
      <c r="F48" s="16">
        <v>0</v>
      </c>
      <c r="G48" s="19">
        <f t="shared" ref="G48" si="29">D48*E48</f>
        <v>0</v>
      </c>
      <c r="H48" s="19">
        <f t="shared" ref="H48" si="30">D48*F48</f>
        <v>0</v>
      </c>
      <c r="I48" s="19">
        <f t="shared" ref="I48" si="31">G48+H48</f>
        <v>0</v>
      </c>
    </row>
    <row r="49" spans="1:9" ht="31.5" x14ac:dyDescent="0.25">
      <c r="A49" s="17"/>
      <c r="B49" s="15" t="s">
        <v>51</v>
      </c>
      <c r="C49" s="24" t="s">
        <v>52</v>
      </c>
      <c r="D49" s="88">
        <v>24</v>
      </c>
      <c r="E49" s="19">
        <v>0</v>
      </c>
      <c r="F49" s="16">
        <v>0</v>
      </c>
      <c r="G49" s="19">
        <f t="shared" ref="G49" si="32">D49*E49</f>
        <v>0</v>
      </c>
      <c r="H49" s="19">
        <f t="shared" ref="H49" si="33">D49*F49</f>
        <v>0</v>
      </c>
      <c r="I49" s="19">
        <f t="shared" ref="I49" si="34">G49+H49</f>
        <v>0</v>
      </c>
    </row>
    <row r="50" spans="1:9" ht="47.25" x14ac:dyDescent="0.25">
      <c r="A50" s="17"/>
      <c r="B50" s="43" t="s">
        <v>53</v>
      </c>
      <c r="C50" s="44" t="s">
        <v>1</v>
      </c>
      <c r="D50" s="113">
        <v>1.5</v>
      </c>
      <c r="E50" s="19">
        <v>0</v>
      </c>
      <c r="F50" s="16">
        <v>0</v>
      </c>
      <c r="G50" s="19">
        <f t="shared" ref="G50" si="35">D50*E50</f>
        <v>0</v>
      </c>
      <c r="H50" s="19">
        <f t="shared" ref="H50" si="36">D50*F50</f>
        <v>0</v>
      </c>
      <c r="I50" s="19">
        <f t="shared" ref="I50" si="37">G50+H50</f>
        <v>0</v>
      </c>
    </row>
    <row r="51" spans="1:9" ht="31.5" x14ac:dyDescent="0.25">
      <c r="A51" s="17"/>
      <c r="B51" s="15" t="s">
        <v>54</v>
      </c>
      <c r="C51" s="24" t="s">
        <v>52</v>
      </c>
      <c r="D51" s="88">
        <v>53</v>
      </c>
      <c r="E51" s="19">
        <v>0</v>
      </c>
      <c r="F51" s="16">
        <v>0</v>
      </c>
      <c r="G51" s="19">
        <f t="shared" ref="G51" si="38">D51*E51</f>
        <v>0</v>
      </c>
      <c r="H51" s="19">
        <f t="shared" ref="H51" si="39">D51*F51</f>
        <v>0</v>
      </c>
      <c r="I51" s="19">
        <f t="shared" ref="I51" si="40">G51+H51</f>
        <v>0</v>
      </c>
    </row>
    <row r="52" spans="1:9" ht="15.75" x14ac:dyDescent="0.25">
      <c r="A52" s="18"/>
      <c r="B52" s="34" t="s">
        <v>37</v>
      </c>
      <c r="C52" s="33"/>
      <c r="D52" s="33"/>
      <c r="E52" s="35"/>
      <c r="F52" s="35"/>
      <c r="G52" s="36">
        <f>SUM(G37:G51)</f>
        <v>0</v>
      </c>
      <c r="H52" s="36">
        <f>SUM(H37:H51)</f>
        <v>0</v>
      </c>
      <c r="I52" s="36">
        <f>SUM(I37:I51)</f>
        <v>0</v>
      </c>
    </row>
    <row r="53" spans="1:9" ht="15.75" x14ac:dyDescent="0.25">
      <c r="A53" s="56" t="s">
        <v>198</v>
      </c>
      <c r="B53" s="57"/>
      <c r="C53" s="58"/>
      <c r="D53" s="58"/>
      <c r="E53" s="59"/>
      <c r="F53" s="59"/>
      <c r="G53" s="60">
        <f>G52+G35</f>
        <v>0</v>
      </c>
      <c r="H53" s="60">
        <f t="shared" ref="H53:I53" si="41">H52+H35</f>
        <v>0</v>
      </c>
      <c r="I53" s="60">
        <f t="shared" si="41"/>
        <v>0</v>
      </c>
    </row>
    <row r="54" spans="1:9" ht="17.25" customHeight="1" x14ac:dyDescent="0.25">
      <c r="A54" s="70" t="s">
        <v>176</v>
      </c>
      <c r="B54" s="65"/>
      <c r="C54" s="65"/>
      <c r="D54" s="65"/>
      <c r="E54" s="65"/>
      <c r="F54" s="65"/>
      <c r="G54" s="65"/>
      <c r="H54" s="65"/>
      <c r="I54" s="66"/>
    </row>
    <row r="55" spans="1:9" ht="15.75" x14ac:dyDescent="0.25">
      <c r="A55" s="121" t="s">
        <v>177</v>
      </c>
      <c r="B55" s="121"/>
      <c r="C55" s="121"/>
      <c r="D55" s="121"/>
      <c r="E55" s="121"/>
      <c r="F55" s="121"/>
      <c r="G55" s="121"/>
      <c r="H55" s="121"/>
      <c r="I55" s="121"/>
    </row>
    <row r="56" spans="1:9" ht="15.75" x14ac:dyDescent="0.25">
      <c r="A56" s="14"/>
      <c r="B56" s="29" t="s">
        <v>114</v>
      </c>
      <c r="C56" s="14" t="s">
        <v>1</v>
      </c>
      <c r="D56" s="16">
        <v>11</v>
      </c>
      <c r="E56" s="16">
        <v>0</v>
      </c>
      <c r="F56" s="16">
        <v>0</v>
      </c>
      <c r="G56" s="19">
        <f t="shared" ref="G56" si="42">D56*E56</f>
        <v>0</v>
      </c>
      <c r="H56" s="19">
        <f t="shared" ref="H56" si="43">D56*F56</f>
        <v>0</v>
      </c>
      <c r="I56" s="19">
        <f t="shared" ref="I56" si="44">G56+H56</f>
        <v>0</v>
      </c>
    </row>
    <row r="57" spans="1:9" ht="31.5" x14ac:dyDescent="0.25">
      <c r="A57" s="14"/>
      <c r="B57" s="29" t="s">
        <v>193</v>
      </c>
      <c r="C57" s="14" t="s">
        <v>1</v>
      </c>
      <c r="D57" s="16">
        <v>0.06</v>
      </c>
      <c r="E57" s="16">
        <v>0</v>
      </c>
      <c r="F57" s="16">
        <v>0</v>
      </c>
      <c r="G57" s="19">
        <f t="shared" ref="G57:G73" si="45">D57*E57</f>
        <v>0</v>
      </c>
      <c r="H57" s="19">
        <f t="shared" ref="H57:H73" si="46">D57*F57</f>
        <v>0</v>
      </c>
      <c r="I57" s="19">
        <f t="shared" ref="I57:I73" si="47">G57+H57</f>
        <v>0</v>
      </c>
    </row>
    <row r="58" spans="1:9" ht="15.75" x14ac:dyDescent="0.25">
      <c r="A58" s="14"/>
      <c r="B58" s="29" t="s">
        <v>56</v>
      </c>
      <c r="C58" s="14" t="s">
        <v>0</v>
      </c>
      <c r="D58" s="82">
        <v>30</v>
      </c>
      <c r="E58" s="16">
        <v>0</v>
      </c>
      <c r="F58" s="16">
        <v>0</v>
      </c>
      <c r="G58" s="19">
        <f t="shared" si="45"/>
        <v>0</v>
      </c>
      <c r="H58" s="19">
        <f t="shared" si="46"/>
        <v>0</v>
      </c>
      <c r="I58" s="19">
        <f t="shared" si="47"/>
        <v>0</v>
      </c>
    </row>
    <row r="59" spans="1:9" ht="15.75" x14ac:dyDescent="0.25">
      <c r="A59" s="14"/>
      <c r="B59" s="29" t="s">
        <v>57</v>
      </c>
      <c r="C59" s="14" t="s">
        <v>0</v>
      </c>
      <c r="D59" s="82">
        <v>22</v>
      </c>
      <c r="E59" s="16">
        <v>0</v>
      </c>
      <c r="F59" s="16">
        <v>0</v>
      </c>
      <c r="G59" s="19">
        <f t="shared" si="45"/>
        <v>0</v>
      </c>
      <c r="H59" s="19">
        <f t="shared" si="46"/>
        <v>0</v>
      </c>
      <c r="I59" s="19">
        <f t="shared" si="47"/>
        <v>0</v>
      </c>
    </row>
    <row r="60" spans="1:9" ht="15.75" x14ac:dyDescent="0.25">
      <c r="A60" s="14"/>
      <c r="B60" s="29" t="s">
        <v>58</v>
      </c>
      <c r="C60" s="14" t="s">
        <v>0</v>
      </c>
      <c r="D60" s="82">
        <v>30</v>
      </c>
      <c r="E60" s="16">
        <v>0</v>
      </c>
      <c r="F60" s="16">
        <v>0</v>
      </c>
      <c r="G60" s="19">
        <f t="shared" si="45"/>
        <v>0</v>
      </c>
      <c r="H60" s="19">
        <f t="shared" si="46"/>
        <v>0</v>
      </c>
      <c r="I60" s="19">
        <f t="shared" si="47"/>
        <v>0</v>
      </c>
    </row>
    <row r="61" spans="1:9" ht="15.75" x14ac:dyDescent="0.25">
      <c r="A61" s="14"/>
      <c r="B61" s="29" t="s">
        <v>59</v>
      </c>
      <c r="C61" s="14" t="s">
        <v>0</v>
      </c>
      <c r="D61" s="82">
        <v>34</v>
      </c>
      <c r="E61" s="16">
        <v>0</v>
      </c>
      <c r="F61" s="16">
        <v>0</v>
      </c>
      <c r="G61" s="19">
        <f t="shared" si="45"/>
        <v>0</v>
      </c>
      <c r="H61" s="19">
        <f t="shared" si="46"/>
        <v>0</v>
      </c>
      <c r="I61" s="19">
        <f t="shared" si="47"/>
        <v>0</v>
      </c>
    </row>
    <row r="62" spans="1:9" ht="15.75" x14ac:dyDescent="0.25">
      <c r="A62" s="14"/>
      <c r="B62" s="29" t="s">
        <v>60</v>
      </c>
      <c r="C62" s="14" t="s">
        <v>0</v>
      </c>
      <c r="D62" s="82">
        <v>2</v>
      </c>
      <c r="E62" s="16">
        <v>0</v>
      </c>
      <c r="F62" s="16">
        <v>0</v>
      </c>
      <c r="G62" s="19">
        <f t="shared" si="45"/>
        <v>0</v>
      </c>
      <c r="H62" s="19">
        <f t="shared" si="46"/>
        <v>0</v>
      </c>
      <c r="I62" s="19">
        <f t="shared" si="47"/>
        <v>0</v>
      </c>
    </row>
    <row r="63" spans="1:9" ht="15.75" x14ac:dyDescent="0.25">
      <c r="A63" s="14"/>
      <c r="B63" s="29" t="s">
        <v>61</v>
      </c>
      <c r="C63" s="14" t="s">
        <v>0</v>
      </c>
      <c r="D63" s="82">
        <v>80</v>
      </c>
      <c r="E63" s="16">
        <v>0</v>
      </c>
      <c r="F63" s="16">
        <v>0</v>
      </c>
      <c r="G63" s="19">
        <f t="shared" si="45"/>
        <v>0</v>
      </c>
      <c r="H63" s="19">
        <f t="shared" si="46"/>
        <v>0</v>
      </c>
      <c r="I63" s="19">
        <f t="shared" si="47"/>
        <v>0</v>
      </c>
    </row>
    <row r="64" spans="1:9" ht="31.5" x14ac:dyDescent="0.25">
      <c r="A64" s="14"/>
      <c r="B64" s="29" t="s">
        <v>143</v>
      </c>
      <c r="C64" s="14" t="s">
        <v>1</v>
      </c>
      <c r="D64" s="16">
        <v>0.02</v>
      </c>
      <c r="E64" s="16">
        <v>0</v>
      </c>
      <c r="F64" s="16">
        <v>0</v>
      </c>
      <c r="G64" s="19">
        <f t="shared" si="45"/>
        <v>0</v>
      </c>
      <c r="H64" s="19">
        <f t="shared" si="46"/>
        <v>0</v>
      </c>
      <c r="I64" s="19">
        <f t="shared" si="47"/>
        <v>0</v>
      </c>
    </row>
    <row r="65" spans="1:14" ht="15.75" x14ac:dyDescent="0.25">
      <c r="A65" s="14"/>
      <c r="B65" s="29" t="s">
        <v>141</v>
      </c>
      <c r="C65" s="14" t="s">
        <v>39</v>
      </c>
      <c r="D65" s="82">
        <v>10</v>
      </c>
      <c r="E65" s="16">
        <v>0</v>
      </c>
      <c r="F65" s="16">
        <v>0</v>
      </c>
      <c r="G65" s="19">
        <f t="shared" si="45"/>
        <v>0</v>
      </c>
      <c r="H65" s="19">
        <f t="shared" si="46"/>
        <v>0</v>
      </c>
      <c r="I65" s="19">
        <f t="shared" si="47"/>
        <v>0</v>
      </c>
    </row>
    <row r="66" spans="1:14" ht="15.75" x14ac:dyDescent="0.25">
      <c r="A66" s="14"/>
      <c r="B66" s="15" t="s">
        <v>108</v>
      </c>
      <c r="C66" s="14" t="s">
        <v>52</v>
      </c>
      <c r="D66" s="25">
        <f>85+113+85+
(1.23+0.42+1.13+0.69+1.08+1.17+0.71)+N("покрытие лотков")</f>
        <v>289.43</v>
      </c>
      <c r="E66" s="16">
        <v>0</v>
      </c>
      <c r="F66" s="16">
        <v>0</v>
      </c>
      <c r="G66" s="19">
        <f t="shared" si="45"/>
        <v>0</v>
      </c>
      <c r="H66" s="19">
        <f t="shared" si="46"/>
        <v>0</v>
      </c>
      <c r="I66" s="19">
        <f t="shared" si="47"/>
        <v>0</v>
      </c>
      <c r="K66" s="90">
        <f>0.78*((2.97+0.01)*30+(0.72+0.01)*22)+
0.53*(2.97*30*2+0.72*22*2)+
0.78*((2.97+0.01)*30+(0.72+0.01)*22)+
1.23+0.42+1.13+0.69+1.08+1.17+0.71+N("перекрытие монолитных участков")</f>
        <v>282.18400000000003</v>
      </c>
    </row>
    <row r="67" spans="1:14" ht="15.75" x14ac:dyDescent="0.25">
      <c r="A67" s="14"/>
      <c r="B67" s="15" t="s">
        <v>129</v>
      </c>
      <c r="C67" s="14" t="s">
        <v>52</v>
      </c>
      <c r="D67" s="16">
        <f>85+113</f>
        <v>198</v>
      </c>
      <c r="E67" s="16">
        <v>0</v>
      </c>
      <c r="F67" s="16">
        <v>0</v>
      </c>
      <c r="G67" s="19">
        <f t="shared" si="45"/>
        <v>0</v>
      </c>
      <c r="H67" s="19">
        <f t="shared" si="46"/>
        <v>0</v>
      </c>
      <c r="I67" s="19">
        <f t="shared" si="47"/>
        <v>0</v>
      </c>
      <c r="K67" s="90">
        <f>0.78*((2.97+0.01)*30+(0.72+0.01)*22)+
0.53*(2.97*30*2+0.72*22*2)</f>
        <v>193.49520000000001</v>
      </c>
    </row>
    <row r="68" spans="1:14" ht="31.5" x14ac:dyDescent="0.25">
      <c r="A68" s="14"/>
      <c r="B68" s="15" t="s">
        <v>140</v>
      </c>
      <c r="C68" s="14" t="s">
        <v>52</v>
      </c>
      <c r="D68" s="16">
        <f>85+
(1.23+0.42+1.13+0.69+1.08+1.17+0.71)+N("покрытие лотков")</f>
        <v>91.43</v>
      </c>
      <c r="E68" s="16">
        <v>0</v>
      </c>
      <c r="F68" s="16">
        <v>0</v>
      </c>
      <c r="G68" s="19">
        <f t="shared" si="45"/>
        <v>0</v>
      </c>
      <c r="H68" s="19">
        <f t="shared" si="46"/>
        <v>0</v>
      </c>
      <c r="I68" s="19">
        <f t="shared" si="47"/>
        <v>0</v>
      </c>
      <c r="K68" s="90">
        <f>0.78*((2.97+0.01)*30+(0.72+0.01)*22)+
1.23+0.42+1.13+0.69+1.08+1.17+0.71+N("перекрытие монолитных участков")</f>
        <v>88.688800000000001</v>
      </c>
      <c r="L68" s="90"/>
      <c r="N68">
        <f>1.23+0.42+1.13+0.69+1.08+1.17+0.71</f>
        <v>6.43</v>
      </c>
    </row>
    <row r="69" spans="1:14" ht="31.5" x14ac:dyDescent="0.25">
      <c r="A69" s="14"/>
      <c r="B69" s="15" t="s">
        <v>109</v>
      </c>
      <c r="C69" s="14" t="s">
        <v>52</v>
      </c>
      <c r="D69" s="16">
        <f>85+85+
(1.23+0.42+1.13+0.69+1.08+1.17+0.71)+N("покрытие лотков")+
(2.6+0.88+2.38+1.46+2.28+2.46+1.5)*0.4+N("свесы с покрытия лотков")</f>
        <v>181.85400000000001</v>
      </c>
      <c r="E69" s="16">
        <v>0</v>
      </c>
      <c r="F69" s="16">
        <v>0</v>
      </c>
      <c r="G69" s="19">
        <f t="shared" si="45"/>
        <v>0</v>
      </c>
      <c r="H69" s="19">
        <f t="shared" si="46"/>
        <v>0</v>
      </c>
      <c r="I69" s="19">
        <f t="shared" si="47"/>
        <v>0</v>
      </c>
      <c r="K69" s="90">
        <f>0.78*((2.97+0.01)*30+(0.72+0.01)*22)+
0.4*2*((2.97+0.01)*30+(0.72+0.01)*22)+
1.23+0.42+1.13+0.69+1.08+1.17+0.71+N("перекрытие монолитных участков")+
0.4*(2.6+0.88+2.38+1.46+2.28+2.46+1.5)+N("опуск на стены монолитных участков")</f>
        <v>178.48079999999999</v>
      </c>
    </row>
    <row r="70" spans="1:14" ht="31.5" x14ac:dyDescent="0.25">
      <c r="A70" s="14"/>
      <c r="B70" s="15" t="s">
        <v>139</v>
      </c>
      <c r="C70" s="14" t="s">
        <v>52</v>
      </c>
      <c r="D70" s="16">
        <f>85+
(1.23+0.42+1.13+0.69+1.08+1.17+0.71)+N("покрытие лотков")</f>
        <v>91.43</v>
      </c>
      <c r="E70" s="16">
        <v>0</v>
      </c>
      <c r="F70" s="16">
        <v>0</v>
      </c>
      <c r="G70" s="19">
        <f t="shared" si="45"/>
        <v>0</v>
      </c>
      <c r="H70" s="19">
        <f t="shared" si="46"/>
        <v>0</v>
      </c>
      <c r="I70" s="19">
        <f t="shared" si="47"/>
        <v>0</v>
      </c>
      <c r="K70" s="90">
        <f>0.78*((2.97+0.01)*30+(0.72+0.01)*22)+
1.23+0.42+1.13+0.69+1.08+1.17+0.71+N("перекрытие монолитных участков")</f>
        <v>88.688800000000001</v>
      </c>
    </row>
    <row r="71" spans="1:14" ht="47.25" x14ac:dyDescent="0.25">
      <c r="A71" s="14"/>
      <c r="B71" s="15" t="s">
        <v>197</v>
      </c>
      <c r="C71" s="14" t="s">
        <v>52</v>
      </c>
      <c r="D71" s="16">
        <f>0.78*3</f>
        <v>2.34</v>
      </c>
      <c r="E71" s="16">
        <v>0</v>
      </c>
      <c r="F71" s="16">
        <v>0</v>
      </c>
      <c r="G71" s="19">
        <f t="shared" ref="G71" si="48">D71*E71</f>
        <v>0</v>
      </c>
      <c r="H71" s="19">
        <f t="shared" ref="H71" si="49">D71*F71</f>
        <v>0</v>
      </c>
      <c r="I71" s="19">
        <f t="shared" ref="I71" si="50">G71+H71</f>
        <v>0</v>
      </c>
      <c r="K71" s="90"/>
    </row>
    <row r="72" spans="1:14" ht="15.75" x14ac:dyDescent="0.25">
      <c r="A72" s="14"/>
      <c r="B72" s="29" t="s">
        <v>142</v>
      </c>
      <c r="C72" s="14" t="s">
        <v>39</v>
      </c>
      <c r="D72" s="82">
        <v>8</v>
      </c>
      <c r="E72" s="16">
        <v>0</v>
      </c>
      <c r="F72" s="16">
        <v>0</v>
      </c>
      <c r="G72" s="19">
        <f t="shared" si="45"/>
        <v>0</v>
      </c>
      <c r="H72" s="19">
        <f t="shared" si="46"/>
        <v>0</v>
      </c>
      <c r="I72" s="19">
        <f t="shared" si="47"/>
        <v>0</v>
      </c>
      <c r="K72" s="90"/>
    </row>
    <row r="73" spans="1:14" ht="15.75" x14ac:dyDescent="0.25">
      <c r="A73" s="14"/>
      <c r="B73" s="15" t="s">
        <v>144</v>
      </c>
      <c r="C73" s="14" t="s">
        <v>1</v>
      </c>
      <c r="D73" s="16">
        <v>0.18</v>
      </c>
      <c r="E73" s="16">
        <v>0</v>
      </c>
      <c r="F73" s="16">
        <v>0</v>
      </c>
      <c r="G73" s="19">
        <f t="shared" si="45"/>
        <v>0</v>
      </c>
      <c r="H73" s="19">
        <f t="shared" si="46"/>
        <v>0</v>
      </c>
      <c r="I73" s="19">
        <f t="shared" si="47"/>
        <v>0</v>
      </c>
    </row>
    <row r="74" spans="1:14" ht="15.75" x14ac:dyDescent="0.25">
      <c r="A74" s="48"/>
      <c r="B74" s="52" t="s">
        <v>63</v>
      </c>
      <c r="C74" s="53"/>
      <c r="D74" s="53"/>
      <c r="E74" s="54"/>
      <c r="F74" s="55"/>
      <c r="G74" s="55">
        <f>SUM(G56:G73)</f>
        <v>0</v>
      </c>
      <c r="H74" s="55">
        <f t="shared" ref="H74:I74" si="51">SUM(H56:H73)</f>
        <v>0</v>
      </c>
      <c r="I74" s="55">
        <f t="shared" si="51"/>
        <v>0</v>
      </c>
    </row>
    <row r="75" spans="1:14" ht="15.75" x14ac:dyDescent="0.25">
      <c r="A75" s="121" t="s">
        <v>178</v>
      </c>
      <c r="B75" s="121"/>
      <c r="C75" s="121"/>
      <c r="D75" s="121"/>
      <c r="E75" s="121"/>
      <c r="F75" s="121"/>
      <c r="G75" s="121"/>
      <c r="H75" s="121"/>
      <c r="I75" s="121"/>
    </row>
    <row r="76" spans="1:14" ht="15.75" x14ac:dyDescent="0.25">
      <c r="A76" s="14"/>
      <c r="B76" s="29" t="s">
        <v>62</v>
      </c>
      <c r="C76" s="14" t="s">
        <v>1</v>
      </c>
      <c r="D76" s="16">
        <f>0.15+0.05+0.14+0.08+0.13+0.14+0.09</f>
        <v>0.78</v>
      </c>
      <c r="E76" s="16">
        <v>0</v>
      </c>
      <c r="F76" s="16">
        <v>0</v>
      </c>
      <c r="G76" s="19">
        <f t="shared" ref="G76" si="52">D76*E76</f>
        <v>0</v>
      </c>
      <c r="H76" s="19">
        <f t="shared" ref="H76" si="53">D76*F76</f>
        <v>0</v>
      </c>
      <c r="I76" s="19">
        <f t="shared" ref="I76" si="54">G76+H76</f>
        <v>0</v>
      </c>
    </row>
    <row r="77" spans="1:14" ht="15.75" x14ac:dyDescent="0.25">
      <c r="A77" s="14"/>
      <c r="B77" s="29" t="s">
        <v>65</v>
      </c>
      <c r="C77" s="14" t="s">
        <v>1</v>
      </c>
      <c r="D77" s="16">
        <f>0.15+0.05+0.14+0.08+0.13+0.14+0.09</f>
        <v>0.78</v>
      </c>
      <c r="E77" s="16">
        <v>0</v>
      </c>
      <c r="F77" s="16">
        <v>0</v>
      </c>
      <c r="G77" s="19">
        <f t="shared" ref="G77:G88" si="55">D77*E77</f>
        <v>0</v>
      </c>
      <c r="H77" s="19">
        <f t="shared" ref="H77:H88" si="56">D77*F77</f>
        <v>0</v>
      </c>
      <c r="I77" s="19">
        <f t="shared" ref="I77:I88" si="57">G77+H77</f>
        <v>0</v>
      </c>
    </row>
    <row r="78" spans="1:14" ht="31.5" x14ac:dyDescent="0.25">
      <c r="A78" s="14"/>
      <c r="B78" s="18" t="s">
        <v>139</v>
      </c>
      <c r="C78" s="14" t="s">
        <v>52</v>
      </c>
      <c r="D78" s="16">
        <f>1.23+0.42+1.13+0.69+1.08+1.17+0.71</f>
        <v>6.43</v>
      </c>
      <c r="E78" s="16">
        <v>0</v>
      </c>
      <c r="F78" s="16">
        <v>0</v>
      </c>
      <c r="G78" s="19">
        <f t="shared" ref="G78" si="58">D78*E78</f>
        <v>0</v>
      </c>
      <c r="H78" s="19">
        <f t="shared" ref="H78" si="59">D78*F78</f>
        <v>0</v>
      </c>
      <c r="I78" s="19">
        <f t="shared" ref="I78" si="60">G78+H78</f>
        <v>0</v>
      </c>
    </row>
    <row r="79" spans="1:14" ht="15.75" x14ac:dyDescent="0.25">
      <c r="A79" s="14"/>
      <c r="B79" s="29" t="s">
        <v>66</v>
      </c>
      <c r="C79" s="14" t="s">
        <v>1</v>
      </c>
      <c r="D79" s="16">
        <v>0.36</v>
      </c>
      <c r="E79" s="16">
        <v>0</v>
      </c>
      <c r="F79" s="16">
        <v>0</v>
      </c>
      <c r="G79" s="19">
        <f t="shared" si="55"/>
        <v>0</v>
      </c>
      <c r="H79" s="19">
        <f t="shared" si="56"/>
        <v>0</v>
      </c>
      <c r="I79" s="19">
        <f t="shared" si="57"/>
        <v>0</v>
      </c>
    </row>
    <row r="80" spans="1:14" ht="15.75" x14ac:dyDescent="0.25">
      <c r="A80" s="14"/>
      <c r="B80" s="29" t="s">
        <v>67</v>
      </c>
      <c r="C80" s="14" t="s">
        <v>1</v>
      </c>
      <c r="D80" s="16">
        <v>0.12</v>
      </c>
      <c r="E80" s="16">
        <v>0</v>
      </c>
      <c r="F80" s="16">
        <v>0</v>
      </c>
      <c r="G80" s="19">
        <f t="shared" si="55"/>
        <v>0</v>
      </c>
      <c r="H80" s="19">
        <f t="shared" si="56"/>
        <v>0</v>
      </c>
      <c r="I80" s="19">
        <f t="shared" si="57"/>
        <v>0</v>
      </c>
    </row>
    <row r="81" spans="1:10" ht="15.75" x14ac:dyDescent="0.25">
      <c r="A81" s="14"/>
      <c r="B81" s="29" t="s">
        <v>68</v>
      </c>
      <c r="C81" s="14" t="s">
        <v>1</v>
      </c>
      <c r="D81" s="16">
        <v>0.33</v>
      </c>
      <c r="E81" s="16">
        <v>0</v>
      </c>
      <c r="F81" s="16">
        <v>0</v>
      </c>
      <c r="G81" s="19">
        <f t="shared" si="55"/>
        <v>0</v>
      </c>
      <c r="H81" s="19">
        <f t="shared" si="56"/>
        <v>0</v>
      </c>
      <c r="I81" s="19">
        <f t="shared" si="57"/>
        <v>0</v>
      </c>
    </row>
    <row r="82" spans="1:10" ht="15.75" x14ac:dyDescent="0.25">
      <c r="A82" s="14"/>
      <c r="B82" s="29" t="s">
        <v>69</v>
      </c>
      <c r="C82" s="14" t="s">
        <v>1</v>
      </c>
      <c r="D82" s="16">
        <v>0.2</v>
      </c>
      <c r="E82" s="16">
        <v>0</v>
      </c>
      <c r="F82" s="16">
        <v>0</v>
      </c>
      <c r="G82" s="19">
        <f t="shared" si="55"/>
        <v>0</v>
      </c>
      <c r="H82" s="19">
        <f t="shared" si="56"/>
        <v>0</v>
      </c>
      <c r="I82" s="19">
        <f t="shared" si="57"/>
        <v>0</v>
      </c>
    </row>
    <row r="83" spans="1:10" ht="15.75" x14ac:dyDescent="0.25">
      <c r="A83" s="14"/>
      <c r="B83" s="29" t="s">
        <v>70</v>
      </c>
      <c r="C83" s="14" t="s">
        <v>1</v>
      </c>
      <c r="D83" s="16">
        <v>0.32</v>
      </c>
      <c r="E83" s="16">
        <v>0</v>
      </c>
      <c r="F83" s="16">
        <v>0</v>
      </c>
      <c r="G83" s="19">
        <f t="shared" si="55"/>
        <v>0</v>
      </c>
      <c r="H83" s="19">
        <f t="shared" si="56"/>
        <v>0</v>
      </c>
      <c r="I83" s="19">
        <f t="shared" si="57"/>
        <v>0</v>
      </c>
    </row>
    <row r="84" spans="1:10" ht="15.75" x14ac:dyDescent="0.25">
      <c r="A84" s="14"/>
      <c r="B84" s="29" t="s">
        <v>71</v>
      </c>
      <c r="C84" s="14" t="s">
        <v>1</v>
      </c>
      <c r="D84" s="16">
        <v>0.34</v>
      </c>
      <c r="E84" s="16">
        <v>0</v>
      </c>
      <c r="F84" s="16">
        <v>0</v>
      </c>
      <c r="G84" s="19">
        <f t="shared" si="55"/>
        <v>0</v>
      </c>
      <c r="H84" s="19">
        <f t="shared" si="56"/>
        <v>0</v>
      </c>
      <c r="I84" s="19">
        <f t="shared" si="57"/>
        <v>0</v>
      </c>
    </row>
    <row r="85" spans="1:10" ht="15.75" x14ac:dyDescent="0.25">
      <c r="A85" s="14"/>
      <c r="B85" s="29" t="s">
        <v>72</v>
      </c>
      <c r="C85" s="14" t="s">
        <v>1</v>
      </c>
      <c r="D85" s="16">
        <v>0.21</v>
      </c>
      <c r="E85" s="16">
        <v>0</v>
      </c>
      <c r="F85" s="16">
        <v>0</v>
      </c>
      <c r="G85" s="19">
        <f t="shared" si="55"/>
        <v>0</v>
      </c>
      <c r="H85" s="19">
        <f t="shared" si="56"/>
        <v>0</v>
      </c>
      <c r="I85" s="19">
        <f t="shared" si="57"/>
        <v>0</v>
      </c>
    </row>
    <row r="86" spans="1:10" ht="31.5" x14ac:dyDescent="0.25">
      <c r="A86" s="14"/>
      <c r="B86" s="29" t="s">
        <v>73</v>
      </c>
      <c r="C86" s="14" t="s">
        <v>39</v>
      </c>
      <c r="D86" s="16">
        <f>2.6+0.9+2.4+1.5+2.3+2.5+1.5</f>
        <v>13.7</v>
      </c>
      <c r="E86" s="16">
        <v>0</v>
      </c>
      <c r="F86" s="16">
        <v>0</v>
      </c>
      <c r="G86" s="19">
        <f t="shared" si="55"/>
        <v>0</v>
      </c>
      <c r="H86" s="19">
        <f t="shared" si="56"/>
        <v>0</v>
      </c>
      <c r="I86" s="19">
        <f t="shared" si="57"/>
        <v>0</v>
      </c>
    </row>
    <row r="87" spans="1:10" ht="15.75" x14ac:dyDescent="0.25">
      <c r="A87" s="14"/>
      <c r="B87" s="15" t="s">
        <v>108</v>
      </c>
      <c r="C87" s="14" t="s">
        <v>52</v>
      </c>
      <c r="D87" s="16">
        <f>1.23+0.42+1.13+0.69+1.08+1.17+0.71+
(2.6+0.88+2.38+1.46+2.28+2.46+1.5)*0.6</f>
        <v>14.565999999999999</v>
      </c>
      <c r="E87" s="16">
        <v>0</v>
      </c>
      <c r="F87" s="16">
        <v>0</v>
      </c>
      <c r="G87" s="19">
        <f t="shared" si="55"/>
        <v>0</v>
      </c>
      <c r="H87" s="19">
        <f t="shared" si="56"/>
        <v>0</v>
      </c>
      <c r="I87" s="19">
        <f t="shared" si="57"/>
        <v>0</v>
      </c>
    </row>
    <row r="88" spans="1:10" ht="15.75" x14ac:dyDescent="0.25">
      <c r="A88" s="14"/>
      <c r="B88" s="15" t="s">
        <v>129</v>
      </c>
      <c r="C88" s="14" t="s">
        <v>52</v>
      </c>
      <c r="D88" s="16">
        <f>1.23+0.42+1.13+0.69+1.08+1.17+0.71+
(2.6+0.88+2.38+1.46+2.28+2.46+1.5)*0.6</f>
        <v>14.565999999999999</v>
      </c>
      <c r="E88" s="16">
        <v>0</v>
      </c>
      <c r="F88" s="16">
        <v>0</v>
      </c>
      <c r="G88" s="19">
        <f t="shared" si="55"/>
        <v>0</v>
      </c>
      <c r="H88" s="19">
        <f t="shared" si="56"/>
        <v>0</v>
      </c>
      <c r="I88" s="19">
        <f t="shared" si="57"/>
        <v>0</v>
      </c>
    </row>
    <row r="89" spans="1:10" ht="15.75" x14ac:dyDescent="0.25">
      <c r="A89" s="79"/>
      <c r="B89" s="52" t="s">
        <v>64</v>
      </c>
      <c r="C89" s="53"/>
      <c r="D89" s="53"/>
      <c r="E89" s="54"/>
      <c r="F89" s="55"/>
      <c r="G89" s="55">
        <f>SUM(G76:G88)</f>
        <v>0</v>
      </c>
      <c r="H89" s="55">
        <f t="shared" ref="H89:I89" si="61">SUM(H76:H88)</f>
        <v>0</v>
      </c>
      <c r="I89" s="55">
        <f t="shared" si="61"/>
        <v>0</v>
      </c>
    </row>
    <row r="90" spans="1:10" ht="15.75" x14ac:dyDescent="0.25">
      <c r="A90" s="121" t="s">
        <v>179</v>
      </c>
      <c r="B90" s="121"/>
      <c r="C90" s="121"/>
      <c r="D90" s="121"/>
      <c r="E90" s="121"/>
      <c r="F90" s="121"/>
      <c r="G90" s="121"/>
      <c r="H90" s="121"/>
      <c r="I90" s="121"/>
    </row>
    <row r="91" spans="1:10" ht="15.75" x14ac:dyDescent="0.25">
      <c r="A91" s="80"/>
      <c r="B91" s="29" t="s">
        <v>97</v>
      </c>
      <c r="C91" s="14" t="s">
        <v>1</v>
      </c>
      <c r="D91" s="16">
        <f>(3.4+0.1*2)*(3.25+0.1*2)*0.3</f>
        <v>3.7260000000000004</v>
      </c>
      <c r="E91" s="16">
        <v>0</v>
      </c>
      <c r="F91" s="16">
        <v>0</v>
      </c>
      <c r="G91" s="19">
        <f t="shared" ref="G91" si="62">D91*E91</f>
        <v>0</v>
      </c>
      <c r="H91" s="19">
        <f t="shared" ref="H91" si="63">D91*F91</f>
        <v>0</v>
      </c>
      <c r="I91" s="19">
        <f t="shared" ref="I91" si="64">G91+H91</f>
        <v>0</v>
      </c>
    </row>
    <row r="92" spans="1:10" ht="15.75" x14ac:dyDescent="0.25">
      <c r="A92" s="81"/>
      <c r="B92" s="29" t="s">
        <v>96</v>
      </c>
      <c r="C92" s="14" t="s">
        <v>1</v>
      </c>
      <c r="D92" s="16">
        <v>1.2</v>
      </c>
      <c r="E92" s="16">
        <v>0</v>
      </c>
      <c r="F92" s="16">
        <v>0</v>
      </c>
      <c r="G92" s="19">
        <f t="shared" ref="G92:G93" si="65">D92*E92</f>
        <v>0</v>
      </c>
      <c r="H92" s="19">
        <f t="shared" ref="H92:H93" si="66">D92*F92</f>
        <v>0</v>
      </c>
      <c r="I92" s="19">
        <f t="shared" ref="I92:I93" si="67">G92+H92</f>
        <v>0</v>
      </c>
    </row>
    <row r="93" spans="1:10" ht="31.5" x14ac:dyDescent="0.25">
      <c r="A93" s="14"/>
      <c r="B93" s="18" t="s">
        <v>139</v>
      </c>
      <c r="C93" s="14" t="s">
        <v>52</v>
      </c>
      <c r="D93" s="31">
        <f>3.4*3.25</f>
        <v>11.049999999999999</v>
      </c>
      <c r="E93" s="16">
        <v>0</v>
      </c>
      <c r="F93" s="16">
        <v>0</v>
      </c>
      <c r="G93" s="19">
        <f t="shared" si="65"/>
        <v>0</v>
      </c>
      <c r="H93" s="19">
        <f t="shared" si="66"/>
        <v>0</v>
      </c>
      <c r="I93" s="19">
        <f t="shared" si="67"/>
        <v>0</v>
      </c>
    </row>
    <row r="94" spans="1:10" ht="15.75" x14ac:dyDescent="0.25">
      <c r="A94" s="80"/>
      <c r="B94" s="29" t="s">
        <v>74</v>
      </c>
      <c r="C94" s="14" t="s">
        <v>1</v>
      </c>
      <c r="D94" s="89">
        <f>3.25*3.4*0.3+0.9*0.9*0.2-0.5*0.5*0.3</f>
        <v>3.4019999999999992</v>
      </c>
      <c r="E94" s="16">
        <v>0</v>
      </c>
      <c r="F94" s="16">
        <v>0</v>
      </c>
      <c r="G94" s="19">
        <f t="shared" ref="G94:G111" si="68">D94*E94</f>
        <v>0</v>
      </c>
      <c r="H94" s="19">
        <f t="shared" ref="H94:H111" si="69">D94*F94</f>
        <v>0</v>
      </c>
      <c r="I94" s="19">
        <f t="shared" ref="I94:I111" si="70">G94+H94</f>
        <v>0</v>
      </c>
      <c r="J94">
        <f>3.25*3.4*0.3+0.9*0.9*0.2-0.5*0.5*0.3</f>
        <v>3.4019999999999992</v>
      </c>
    </row>
    <row r="95" spans="1:10" ht="15.75" x14ac:dyDescent="0.25">
      <c r="A95" s="80"/>
      <c r="B95" s="83" t="s">
        <v>75</v>
      </c>
      <c r="C95" s="14" t="s">
        <v>0</v>
      </c>
      <c r="D95" s="14">
        <v>22</v>
      </c>
      <c r="E95" s="16">
        <v>0</v>
      </c>
      <c r="F95" s="16">
        <v>0</v>
      </c>
      <c r="G95" s="19">
        <f t="shared" si="68"/>
        <v>0</v>
      </c>
      <c r="H95" s="19">
        <f t="shared" si="69"/>
        <v>0</v>
      </c>
      <c r="I95" s="19">
        <f t="shared" si="70"/>
        <v>0</v>
      </c>
    </row>
    <row r="96" spans="1:10" ht="15.75" x14ac:dyDescent="0.25">
      <c r="A96" s="80"/>
      <c r="B96" s="83" t="s">
        <v>76</v>
      </c>
      <c r="C96" s="14" t="s">
        <v>0</v>
      </c>
      <c r="D96" s="14">
        <v>14</v>
      </c>
      <c r="E96" s="16">
        <v>0</v>
      </c>
      <c r="F96" s="16">
        <v>0</v>
      </c>
      <c r="G96" s="19">
        <f t="shared" si="68"/>
        <v>0</v>
      </c>
      <c r="H96" s="19">
        <f t="shared" si="69"/>
        <v>0</v>
      </c>
      <c r="I96" s="19">
        <f t="shared" si="70"/>
        <v>0</v>
      </c>
    </row>
    <row r="97" spans="1:9" ht="15.75" x14ac:dyDescent="0.25">
      <c r="A97" s="80"/>
      <c r="B97" s="84" t="s">
        <v>77</v>
      </c>
      <c r="C97" s="14" t="s">
        <v>0</v>
      </c>
      <c r="D97" s="14">
        <v>2</v>
      </c>
      <c r="E97" s="16">
        <v>0</v>
      </c>
      <c r="F97" s="16">
        <v>0</v>
      </c>
      <c r="G97" s="19">
        <f t="shared" si="68"/>
        <v>0</v>
      </c>
      <c r="H97" s="19">
        <f t="shared" si="69"/>
        <v>0</v>
      </c>
      <c r="I97" s="19">
        <f t="shared" si="70"/>
        <v>0</v>
      </c>
    </row>
    <row r="98" spans="1:9" ht="15.75" x14ac:dyDescent="0.25">
      <c r="A98" s="80"/>
      <c r="B98" s="84" t="s">
        <v>78</v>
      </c>
      <c r="C98" s="14" t="s">
        <v>0</v>
      </c>
      <c r="D98" s="14">
        <v>4</v>
      </c>
      <c r="E98" s="16">
        <v>0</v>
      </c>
      <c r="F98" s="16">
        <v>0</v>
      </c>
      <c r="G98" s="19">
        <f t="shared" si="68"/>
        <v>0</v>
      </c>
      <c r="H98" s="19">
        <f t="shared" si="69"/>
        <v>0</v>
      </c>
      <c r="I98" s="19">
        <f t="shared" si="70"/>
        <v>0</v>
      </c>
    </row>
    <row r="99" spans="1:9" ht="15.75" x14ac:dyDescent="0.25">
      <c r="A99" s="79"/>
      <c r="B99" s="85" t="s">
        <v>79</v>
      </c>
      <c r="C99" s="14" t="s">
        <v>0</v>
      </c>
      <c r="D99" s="14">
        <v>1</v>
      </c>
      <c r="E99" s="16">
        <v>0</v>
      </c>
      <c r="F99" s="16">
        <v>0</v>
      </c>
      <c r="G99" s="19">
        <f t="shared" si="68"/>
        <v>0</v>
      </c>
      <c r="H99" s="19">
        <f t="shared" si="69"/>
        <v>0</v>
      </c>
      <c r="I99" s="19">
        <f t="shared" si="70"/>
        <v>0</v>
      </c>
    </row>
    <row r="100" spans="1:9" ht="15.75" x14ac:dyDescent="0.25">
      <c r="A100" s="79"/>
      <c r="B100" s="85" t="s">
        <v>80</v>
      </c>
      <c r="C100" s="14" t="s">
        <v>0</v>
      </c>
      <c r="D100" s="14">
        <v>6</v>
      </c>
      <c r="E100" s="16">
        <v>0</v>
      </c>
      <c r="F100" s="16">
        <v>0</v>
      </c>
      <c r="G100" s="19">
        <f t="shared" si="68"/>
        <v>0</v>
      </c>
      <c r="H100" s="19">
        <f t="shared" si="69"/>
        <v>0</v>
      </c>
      <c r="I100" s="19">
        <f t="shared" si="70"/>
        <v>0</v>
      </c>
    </row>
    <row r="101" spans="1:9" ht="15.75" x14ac:dyDescent="0.25">
      <c r="A101" s="79"/>
      <c r="B101" s="85" t="s">
        <v>81</v>
      </c>
      <c r="C101" s="14" t="s">
        <v>0</v>
      </c>
      <c r="D101" s="14">
        <v>2</v>
      </c>
      <c r="E101" s="16">
        <v>0</v>
      </c>
      <c r="F101" s="16">
        <v>0</v>
      </c>
      <c r="G101" s="19">
        <f t="shared" si="68"/>
        <v>0</v>
      </c>
      <c r="H101" s="19">
        <f t="shared" si="69"/>
        <v>0</v>
      </c>
      <c r="I101" s="19">
        <f t="shared" si="70"/>
        <v>0</v>
      </c>
    </row>
    <row r="102" spans="1:9" ht="15.75" x14ac:dyDescent="0.25">
      <c r="A102" s="79"/>
      <c r="B102" s="85" t="s">
        <v>82</v>
      </c>
      <c r="C102" s="14" t="s">
        <v>0</v>
      </c>
      <c r="D102" s="14">
        <v>2</v>
      </c>
      <c r="E102" s="16">
        <v>0</v>
      </c>
      <c r="F102" s="16">
        <v>0</v>
      </c>
      <c r="G102" s="19">
        <f t="shared" si="68"/>
        <v>0</v>
      </c>
      <c r="H102" s="19">
        <f t="shared" si="69"/>
        <v>0</v>
      </c>
      <c r="I102" s="19">
        <f t="shared" si="70"/>
        <v>0</v>
      </c>
    </row>
    <row r="103" spans="1:9" ht="31.5" x14ac:dyDescent="0.25">
      <c r="A103" s="79"/>
      <c r="B103" s="85" t="s">
        <v>83</v>
      </c>
      <c r="C103" s="14" t="s">
        <v>0</v>
      </c>
      <c r="D103" s="14">
        <v>2</v>
      </c>
      <c r="E103" s="16">
        <v>0</v>
      </c>
      <c r="F103" s="16">
        <v>0</v>
      </c>
      <c r="G103" s="19">
        <f t="shared" si="68"/>
        <v>0</v>
      </c>
      <c r="H103" s="19">
        <f t="shared" si="69"/>
        <v>0</v>
      </c>
      <c r="I103" s="19">
        <f t="shared" si="70"/>
        <v>0</v>
      </c>
    </row>
    <row r="104" spans="1:9" ht="15.75" x14ac:dyDescent="0.25">
      <c r="A104" s="79"/>
      <c r="B104" s="85" t="s">
        <v>84</v>
      </c>
      <c r="C104" s="14" t="s">
        <v>0</v>
      </c>
      <c r="D104" s="14">
        <v>2</v>
      </c>
      <c r="E104" s="16">
        <v>0</v>
      </c>
      <c r="F104" s="16">
        <v>0</v>
      </c>
      <c r="G104" s="19">
        <f t="shared" si="68"/>
        <v>0</v>
      </c>
      <c r="H104" s="19">
        <f t="shared" si="69"/>
        <v>0</v>
      </c>
      <c r="I104" s="19">
        <f t="shared" si="70"/>
        <v>0</v>
      </c>
    </row>
    <row r="105" spans="1:9" ht="15.75" x14ac:dyDescent="0.25">
      <c r="A105" s="79"/>
      <c r="B105" s="85" t="s">
        <v>85</v>
      </c>
      <c r="C105" s="14" t="s">
        <v>0</v>
      </c>
      <c r="D105" s="14">
        <v>2</v>
      </c>
      <c r="E105" s="16">
        <v>0</v>
      </c>
      <c r="F105" s="16">
        <v>0</v>
      </c>
      <c r="G105" s="19">
        <f t="shared" si="68"/>
        <v>0</v>
      </c>
      <c r="H105" s="19">
        <f t="shared" si="69"/>
        <v>0</v>
      </c>
      <c r="I105" s="19">
        <f t="shared" si="70"/>
        <v>0</v>
      </c>
    </row>
    <row r="106" spans="1:9" ht="15.75" x14ac:dyDescent="0.25">
      <c r="A106" s="79"/>
      <c r="B106" s="85" t="s">
        <v>86</v>
      </c>
      <c r="C106" s="14" t="s">
        <v>0</v>
      </c>
      <c r="D106" s="14">
        <v>1</v>
      </c>
      <c r="E106" s="16">
        <v>0</v>
      </c>
      <c r="F106" s="16">
        <v>0</v>
      </c>
      <c r="G106" s="19">
        <f t="shared" si="68"/>
        <v>0</v>
      </c>
      <c r="H106" s="19">
        <f t="shared" si="69"/>
        <v>0</v>
      </c>
      <c r="I106" s="19">
        <f t="shared" si="70"/>
        <v>0</v>
      </c>
    </row>
    <row r="107" spans="1:9" ht="15.75" x14ac:dyDescent="0.25">
      <c r="A107" s="79"/>
      <c r="B107" s="85" t="s">
        <v>87</v>
      </c>
      <c r="C107" s="14" t="s">
        <v>0</v>
      </c>
      <c r="D107" s="14">
        <v>1</v>
      </c>
      <c r="E107" s="16">
        <v>0</v>
      </c>
      <c r="F107" s="16">
        <v>0</v>
      </c>
      <c r="G107" s="19">
        <f t="shared" si="68"/>
        <v>0</v>
      </c>
      <c r="H107" s="19">
        <f t="shared" si="69"/>
        <v>0</v>
      </c>
      <c r="I107" s="19">
        <f t="shared" si="70"/>
        <v>0</v>
      </c>
    </row>
    <row r="108" spans="1:9" ht="15.75" x14ac:dyDescent="0.25">
      <c r="A108" s="80"/>
      <c r="B108" s="84" t="s">
        <v>89</v>
      </c>
      <c r="C108" s="14" t="s">
        <v>1</v>
      </c>
      <c r="D108" s="14">
        <v>1.6</v>
      </c>
      <c r="E108" s="16">
        <v>0</v>
      </c>
      <c r="F108" s="16">
        <v>0</v>
      </c>
      <c r="G108" s="19">
        <f t="shared" si="68"/>
        <v>0</v>
      </c>
      <c r="H108" s="19">
        <f t="shared" si="69"/>
        <v>0</v>
      </c>
      <c r="I108" s="19">
        <f t="shared" si="70"/>
        <v>0</v>
      </c>
    </row>
    <row r="109" spans="1:9" ht="15.75" x14ac:dyDescent="0.25">
      <c r="A109" s="80"/>
      <c r="B109" s="84" t="s">
        <v>88</v>
      </c>
      <c r="C109" s="14" t="s">
        <v>1</v>
      </c>
      <c r="D109" s="14">
        <v>0.3</v>
      </c>
      <c r="E109" s="16">
        <v>0</v>
      </c>
      <c r="F109" s="16">
        <v>0</v>
      </c>
      <c r="G109" s="19">
        <f t="shared" si="68"/>
        <v>0</v>
      </c>
      <c r="H109" s="19">
        <f t="shared" si="69"/>
        <v>0</v>
      </c>
      <c r="I109" s="19">
        <f t="shared" si="70"/>
        <v>0</v>
      </c>
    </row>
    <row r="110" spans="1:9" ht="31.5" x14ac:dyDescent="0.25">
      <c r="A110" s="80"/>
      <c r="B110" s="84" t="s">
        <v>138</v>
      </c>
      <c r="C110" s="14" t="s">
        <v>52</v>
      </c>
      <c r="D110" s="14">
        <f>(3.4-0.5*2)*(3.25-0.5*2)-0.5*0.5</f>
        <v>5.1499999999999995</v>
      </c>
      <c r="E110" s="16">
        <v>0</v>
      </c>
      <c r="F110" s="16">
        <v>0</v>
      </c>
      <c r="G110" s="19">
        <f t="shared" si="68"/>
        <v>0</v>
      </c>
      <c r="H110" s="19">
        <f t="shared" si="69"/>
        <v>0</v>
      </c>
      <c r="I110" s="19">
        <f t="shared" si="70"/>
        <v>0</v>
      </c>
    </row>
    <row r="111" spans="1:9" ht="63" x14ac:dyDescent="0.25">
      <c r="A111" s="80"/>
      <c r="B111" s="84" t="s">
        <v>90</v>
      </c>
      <c r="C111" s="14" t="s">
        <v>39</v>
      </c>
      <c r="D111" s="31">
        <v>3</v>
      </c>
      <c r="E111" s="16">
        <v>0</v>
      </c>
      <c r="F111" s="16">
        <v>0</v>
      </c>
      <c r="G111" s="19">
        <f t="shared" si="68"/>
        <v>0</v>
      </c>
      <c r="H111" s="19">
        <f t="shared" si="69"/>
        <v>0</v>
      </c>
      <c r="I111" s="19">
        <f t="shared" si="70"/>
        <v>0</v>
      </c>
    </row>
    <row r="112" spans="1:9" ht="15.75" x14ac:dyDescent="0.25">
      <c r="A112" s="86"/>
      <c r="B112" s="15" t="s">
        <v>108</v>
      </c>
      <c r="C112" s="14" t="s">
        <v>52</v>
      </c>
      <c r="D112" s="31">
        <f>3.4*3.25+0.9*4*0.2+
(3.25*2+3.4*2)*(0.3+2.4)-1*0.45-0.6*0.45+
3.25*3.4-0.25*3.14*0.84*0.84*2+
(3.25*2+3.4*2)*0.12+
3.14*0.84*(0.29+0.01+0.07)*2</f>
        <v>60.450031999999993</v>
      </c>
      <c r="E112" s="16">
        <v>0</v>
      </c>
      <c r="F112" s="16">
        <v>0</v>
      </c>
      <c r="G112" s="19">
        <f t="shared" ref="G112:G116" si="71">D112*E112</f>
        <v>0</v>
      </c>
      <c r="H112" s="19">
        <f t="shared" ref="H112:H116" si="72">D112*F112</f>
        <v>0</v>
      </c>
      <c r="I112" s="19">
        <f t="shared" ref="I112:I116" si="73">G112+H112</f>
        <v>0</v>
      </c>
    </row>
    <row r="113" spans="1:9" ht="15.75" x14ac:dyDescent="0.25">
      <c r="A113" s="86"/>
      <c r="B113" s="15" t="s">
        <v>129</v>
      </c>
      <c r="C113" s="14" t="s">
        <v>52</v>
      </c>
      <c r="D113" s="31">
        <f>3.4*3.25+0.9*4*0.2+
(3.25*2+3.4*2)*(0.3+2.4)-1*0.45-0.6*0.45+
3.14*0.84*(0.29+0.01+0.07)*2</f>
        <v>48.911823999999989</v>
      </c>
      <c r="E113" s="16">
        <v>0</v>
      </c>
      <c r="F113" s="16">
        <v>0</v>
      </c>
      <c r="G113" s="19">
        <f t="shared" si="71"/>
        <v>0</v>
      </c>
      <c r="H113" s="19">
        <f t="shared" si="72"/>
        <v>0</v>
      </c>
      <c r="I113" s="19">
        <f t="shared" si="73"/>
        <v>0</v>
      </c>
    </row>
    <row r="114" spans="1:9" ht="31.5" x14ac:dyDescent="0.25">
      <c r="A114" s="86"/>
      <c r="B114" s="15" t="s">
        <v>136</v>
      </c>
      <c r="C114" s="14" t="s">
        <v>52</v>
      </c>
      <c r="D114" s="31">
        <f>3.25*3.4-0.25*3.14*0.84*0.84*2</f>
        <v>9.942207999999999</v>
      </c>
      <c r="E114" s="16">
        <v>0</v>
      </c>
      <c r="F114" s="16">
        <v>0</v>
      </c>
      <c r="G114" s="19">
        <f t="shared" si="71"/>
        <v>0</v>
      </c>
      <c r="H114" s="19">
        <f t="shared" si="72"/>
        <v>0</v>
      </c>
      <c r="I114" s="19">
        <f t="shared" si="73"/>
        <v>0</v>
      </c>
    </row>
    <row r="115" spans="1:9" ht="31.5" x14ac:dyDescent="0.25">
      <c r="A115" s="86"/>
      <c r="B115" s="15" t="s">
        <v>109</v>
      </c>
      <c r="C115" s="14" t="s">
        <v>52</v>
      </c>
      <c r="D115" s="31">
        <f>3.25*3.4-0.25*3.14*0.84*0.84*2+
(3.25*2+3.4*2)*(0.5+0.12)</f>
        <v>18.188207999999999</v>
      </c>
      <c r="E115" s="16">
        <v>0</v>
      </c>
      <c r="F115" s="16">
        <v>0</v>
      </c>
      <c r="G115" s="19">
        <f t="shared" si="71"/>
        <v>0</v>
      </c>
      <c r="H115" s="19">
        <f t="shared" si="72"/>
        <v>0</v>
      </c>
      <c r="I115" s="19">
        <f t="shared" si="73"/>
        <v>0</v>
      </c>
    </row>
    <row r="116" spans="1:9" ht="31.5" x14ac:dyDescent="0.25">
      <c r="A116" s="80"/>
      <c r="B116" s="15" t="s">
        <v>139</v>
      </c>
      <c r="C116" s="14" t="s">
        <v>52</v>
      </c>
      <c r="D116" s="31">
        <f>3.25*3.4-0.25*3.14*0.84*0.84*2</f>
        <v>9.942207999999999</v>
      </c>
      <c r="E116" s="16">
        <v>0</v>
      </c>
      <c r="F116" s="16">
        <v>0</v>
      </c>
      <c r="G116" s="19">
        <f t="shared" si="71"/>
        <v>0</v>
      </c>
      <c r="H116" s="19">
        <f t="shared" si="72"/>
        <v>0</v>
      </c>
      <c r="I116" s="19">
        <f t="shared" si="73"/>
        <v>0</v>
      </c>
    </row>
    <row r="117" spans="1:9" ht="15.75" x14ac:dyDescent="0.25">
      <c r="A117" s="79"/>
      <c r="B117" s="52" t="s">
        <v>91</v>
      </c>
      <c r="C117" s="53"/>
      <c r="D117" s="53"/>
      <c r="E117" s="54"/>
      <c r="F117" s="55"/>
      <c r="G117" s="55">
        <f>SUM(G91:G116)</f>
        <v>0</v>
      </c>
      <c r="H117" s="55">
        <f t="shared" ref="H117:I117" si="74">SUM(H91:H116)</f>
        <v>0</v>
      </c>
      <c r="I117" s="55">
        <f t="shared" si="74"/>
        <v>0</v>
      </c>
    </row>
    <row r="118" spans="1:9" ht="15.75" x14ac:dyDescent="0.25">
      <c r="A118" s="115" t="s">
        <v>180</v>
      </c>
      <c r="B118" s="116"/>
      <c r="C118" s="116"/>
      <c r="D118" s="116"/>
      <c r="E118" s="116"/>
      <c r="F118" s="116"/>
      <c r="G118" s="116"/>
      <c r="H118" s="116"/>
      <c r="I118" s="117"/>
    </row>
    <row r="119" spans="1:9" ht="15.75" x14ac:dyDescent="0.25">
      <c r="A119" s="14"/>
      <c r="B119" s="29" t="s">
        <v>97</v>
      </c>
      <c r="C119" s="14" t="s">
        <v>1</v>
      </c>
      <c r="D119" s="31">
        <v>3</v>
      </c>
      <c r="E119" s="16">
        <v>0</v>
      </c>
      <c r="F119" s="16">
        <v>0</v>
      </c>
      <c r="G119" s="19">
        <f t="shared" ref="G119" si="75">D119*E119</f>
        <v>0</v>
      </c>
      <c r="H119" s="19">
        <f t="shared" ref="H119" si="76">D119*F119</f>
        <v>0</v>
      </c>
      <c r="I119" s="19">
        <f t="shared" ref="I119" si="77">G119+H119</f>
        <v>0</v>
      </c>
    </row>
    <row r="120" spans="1:9" ht="15.75" x14ac:dyDescent="0.25">
      <c r="A120" s="14"/>
      <c r="B120" s="29" t="s">
        <v>96</v>
      </c>
      <c r="C120" s="14" t="s">
        <v>1</v>
      </c>
      <c r="D120" s="31">
        <v>1</v>
      </c>
      <c r="E120" s="16">
        <v>0</v>
      </c>
      <c r="F120" s="16">
        <v>0</v>
      </c>
      <c r="G120" s="19">
        <f t="shared" ref="G120:G137" si="78">D120*E120</f>
        <v>0</v>
      </c>
      <c r="H120" s="19">
        <f t="shared" ref="H120:H137" si="79">D120*F120</f>
        <v>0</v>
      </c>
      <c r="I120" s="19">
        <f t="shared" ref="I120:I137" si="80">G120+H120</f>
        <v>0</v>
      </c>
    </row>
    <row r="121" spans="1:9" ht="31.5" x14ac:dyDescent="0.25">
      <c r="A121" s="14"/>
      <c r="B121" s="18" t="s">
        <v>139</v>
      </c>
      <c r="C121" s="14" t="s">
        <v>52</v>
      </c>
      <c r="D121" s="31">
        <f>2.8*3.25</f>
        <v>9.1</v>
      </c>
      <c r="E121" s="16">
        <v>0</v>
      </c>
      <c r="F121" s="16">
        <v>0</v>
      </c>
      <c r="G121" s="19">
        <f t="shared" ref="G121:G124" si="81">D121*E121</f>
        <v>0</v>
      </c>
      <c r="H121" s="19">
        <f t="shared" ref="H121:H124" si="82">D121*F121</f>
        <v>0</v>
      </c>
      <c r="I121" s="19">
        <f t="shared" ref="I121:I124" si="83">G121+H121</f>
        <v>0</v>
      </c>
    </row>
    <row r="122" spans="1:9" ht="15.75" x14ac:dyDescent="0.25">
      <c r="A122" s="14"/>
      <c r="B122" s="29" t="s">
        <v>74</v>
      </c>
      <c r="C122" s="14" t="s">
        <v>1</v>
      </c>
      <c r="D122" s="114">
        <f>3.25*2.8*0.3+0.9*0.9*0.2-0.5*0.5*0.3</f>
        <v>2.8169999999999997</v>
      </c>
      <c r="E122" s="16">
        <v>0</v>
      </c>
      <c r="F122" s="16">
        <v>0</v>
      </c>
      <c r="G122" s="19">
        <f t="shared" si="81"/>
        <v>0</v>
      </c>
      <c r="H122" s="19">
        <f t="shared" si="82"/>
        <v>0</v>
      </c>
      <c r="I122" s="19">
        <f t="shared" si="83"/>
        <v>0</v>
      </c>
    </row>
    <row r="123" spans="1:9" ht="15.75" x14ac:dyDescent="0.25">
      <c r="A123" s="14"/>
      <c r="B123" s="83" t="s">
        <v>75</v>
      </c>
      <c r="C123" s="14" t="s">
        <v>0</v>
      </c>
      <c r="D123" s="31">
        <v>12</v>
      </c>
      <c r="E123" s="16">
        <v>0</v>
      </c>
      <c r="F123" s="16">
        <v>0</v>
      </c>
      <c r="G123" s="19">
        <f t="shared" si="81"/>
        <v>0</v>
      </c>
      <c r="H123" s="19">
        <f t="shared" si="82"/>
        <v>0</v>
      </c>
      <c r="I123" s="19">
        <f t="shared" si="83"/>
        <v>0</v>
      </c>
    </row>
    <row r="124" spans="1:9" ht="15.75" x14ac:dyDescent="0.25">
      <c r="A124" s="14"/>
      <c r="B124" s="83" t="s">
        <v>76</v>
      </c>
      <c r="C124" s="14" t="s">
        <v>0</v>
      </c>
      <c r="D124" s="31">
        <v>13</v>
      </c>
      <c r="E124" s="16">
        <v>0</v>
      </c>
      <c r="F124" s="16">
        <v>0</v>
      </c>
      <c r="G124" s="19">
        <f t="shared" si="81"/>
        <v>0</v>
      </c>
      <c r="H124" s="19">
        <f t="shared" si="82"/>
        <v>0</v>
      </c>
      <c r="I124" s="19">
        <f t="shared" si="83"/>
        <v>0</v>
      </c>
    </row>
    <row r="125" spans="1:9" ht="15.75" x14ac:dyDescent="0.25">
      <c r="A125" s="14"/>
      <c r="B125" s="84" t="s">
        <v>92</v>
      </c>
      <c r="C125" s="14" t="s">
        <v>0</v>
      </c>
      <c r="D125" s="31">
        <v>2</v>
      </c>
      <c r="E125" s="16">
        <v>0</v>
      </c>
      <c r="F125" s="16">
        <v>0</v>
      </c>
      <c r="G125" s="19">
        <f t="shared" si="78"/>
        <v>0</v>
      </c>
      <c r="H125" s="19">
        <f t="shared" si="79"/>
        <v>0</v>
      </c>
      <c r="I125" s="19">
        <f t="shared" si="80"/>
        <v>0</v>
      </c>
    </row>
    <row r="126" spans="1:9" ht="15.75" x14ac:dyDescent="0.25">
      <c r="A126" s="14"/>
      <c r="B126" s="85" t="s">
        <v>80</v>
      </c>
      <c r="C126" s="14" t="s">
        <v>0</v>
      </c>
      <c r="D126" s="31">
        <v>4</v>
      </c>
      <c r="E126" s="16">
        <v>0</v>
      </c>
      <c r="F126" s="16">
        <v>0</v>
      </c>
      <c r="G126" s="19">
        <f t="shared" si="78"/>
        <v>0</v>
      </c>
      <c r="H126" s="19">
        <f t="shared" si="79"/>
        <v>0</v>
      </c>
      <c r="I126" s="19">
        <f t="shared" si="80"/>
        <v>0</v>
      </c>
    </row>
    <row r="127" spans="1:9" ht="15.75" x14ac:dyDescent="0.25">
      <c r="A127" s="14"/>
      <c r="B127" s="85" t="s">
        <v>81</v>
      </c>
      <c r="C127" s="14" t="s">
        <v>0</v>
      </c>
      <c r="D127" s="31">
        <v>2</v>
      </c>
      <c r="E127" s="16">
        <v>0</v>
      </c>
      <c r="F127" s="16">
        <v>0</v>
      </c>
      <c r="G127" s="19">
        <f t="shared" si="78"/>
        <v>0</v>
      </c>
      <c r="H127" s="19">
        <f t="shared" si="79"/>
        <v>0</v>
      </c>
      <c r="I127" s="19">
        <f t="shared" si="80"/>
        <v>0</v>
      </c>
    </row>
    <row r="128" spans="1:9" ht="15.75" x14ac:dyDescent="0.25">
      <c r="A128" s="14"/>
      <c r="B128" s="85" t="s">
        <v>82</v>
      </c>
      <c r="C128" s="14" t="s">
        <v>0</v>
      </c>
      <c r="D128" s="31">
        <v>2</v>
      </c>
      <c r="E128" s="16">
        <v>0</v>
      </c>
      <c r="F128" s="16">
        <v>0</v>
      </c>
      <c r="G128" s="19">
        <f t="shared" si="78"/>
        <v>0</v>
      </c>
      <c r="H128" s="19">
        <f t="shared" si="79"/>
        <v>0</v>
      </c>
      <c r="I128" s="19">
        <f t="shared" si="80"/>
        <v>0</v>
      </c>
    </row>
    <row r="129" spans="1:9" ht="31.5" x14ac:dyDescent="0.25">
      <c r="A129" s="14"/>
      <c r="B129" s="85" t="s">
        <v>83</v>
      </c>
      <c r="C129" s="14" t="s">
        <v>0</v>
      </c>
      <c r="D129" s="31">
        <v>2</v>
      </c>
      <c r="E129" s="16">
        <v>0</v>
      </c>
      <c r="F129" s="16">
        <v>0</v>
      </c>
      <c r="G129" s="19">
        <f t="shared" si="78"/>
        <v>0</v>
      </c>
      <c r="H129" s="19">
        <f t="shared" si="79"/>
        <v>0</v>
      </c>
      <c r="I129" s="19">
        <f t="shared" si="80"/>
        <v>0</v>
      </c>
    </row>
    <row r="130" spans="1:9" ht="15.75" x14ac:dyDescent="0.25">
      <c r="A130" s="14"/>
      <c r="B130" s="85" t="s">
        <v>84</v>
      </c>
      <c r="C130" s="14" t="s">
        <v>0</v>
      </c>
      <c r="D130" s="31">
        <v>2</v>
      </c>
      <c r="E130" s="16">
        <v>0</v>
      </c>
      <c r="F130" s="16">
        <v>0</v>
      </c>
      <c r="G130" s="19">
        <f t="shared" si="78"/>
        <v>0</v>
      </c>
      <c r="H130" s="19">
        <f t="shared" si="79"/>
        <v>0</v>
      </c>
      <c r="I130" s="19">
        <f t="shared" si="80"/>
        <v>0</v>
      </c>
    </row>
    <row r="131" spans="1:9" ht="15.75" x14ac:dyDescent="0.25">
      <c r="A131" s="14"/>
      <c r="B131" s="85" t="s">
        <v>93</v>
      </c>
      <c r="C131" s="14" t="s">
        <v>0</v>
      </c>
      <c r="D131" s="31">
        <v>2</v>
      </c>
      <c r="E131" s="16">
        <v>0</v>
      </c>
      <c r="F131" s="16">
        <v>0</v>
      </c>
      <c r="G131" s="19">
        <f t="shared" si="78"/>
        <v>0</v>
      </c>
      <c r="H131" s="19">
        <f t="shared" si="79"/>
        <v>0</v>
      </c>
      <c r="I131" s="19">
        <f t="shared" si="80"/>
        <v>0</v>
      </c>
    </row>
    <row r="132" spans="1:9" ht="15.75" x14ac:dyDescent="0.25">
      <c r="A132" s="14"/>
      <c r="B132" s="85" t="s">
        <v>86</v>
      </c>
      <c r="C132" s="14" t="s">
        <v>0</v>
      </c>
      <c r="D132" s="31">
        <v>1</v>
      </c>
      <c r="E132" s="16">
        <v>0</v>
      </c>
      <c r="F132" s="16">
        <v>0</v>
      </c>
      <c r="G132" s="19">
        <f t="shared" si="78"/>
        <v>0</v>
      </c>
      <c r="H132" s="19">
        <f t="shared" si="79"/>
        <v>0</v>
      </c>
      <c r="I132" s="19">
        <f t="shared" si="80"/>
        <v>0</v>
      </c>
    </row>
    <row r="133" spans="1:9" ht="15.75" x14ac:dyDescent="0.25">
      <c r="A133" s="14"/>
      <c r="B133" s="85" t="s">
        <v>94</v>
      </c>
      <c r="C133" s="14" t="s">
        <v>0</v>
      </c>
      <c r="D133" s="31">
        <v>1</v>
      </c>
      <c r="E133" s="16">
        <v>0</v>
      </c>
      <c r="F133" s="16">
        <v>0</v>
      </c>
      <c r="G133" s="19">
        <f t="shared" si="78"/>
        <v>0</v>
      </c>
      <c r="H133" s="19">
        <f t="shared" si="79"/>
        <v>0</v>
      </c>
      <c r="I133" s="19">
        <f t="shared" si="80"/>
        <v>0</v>
      </c>
    </row>
    <row r="134" spans="1:9" ht="15.75" x14ac:dyDescent="0.25">
      <c r="A134" s="14"/>
      <c r="B134" s="84" t="s">
        <v>89</v>
      </c>
      <c r="C134" s="14" t="s">
        <v>1</v>
      </c>
      <c r="D134" s="31">
        <v>0.8</v>
      </c>
      <c r="E134" s="16">
        <v>0</v>
      </c>
      <c r="F134" s="16">
        <v>0</v>
      </c>
      <c r="G134" s="19">
        <f t="shared" si="78"/>
        <v>0</v>
      </c>
      <c r="H134" s="19">
        <f t="shared" si="79"/>
        <v>0</v>
      </c>
      <c r="I134" s="19">
        <f t="shared" si="80"/>
        <v>0</v>
      </c>
    </row>
    <row r="135" spans="1:9" ht="15.75" x14ac:dyDescent="0.25">
      <c r="A135" s="14"/>
      <c r="B135" s="84" t="s">
        <v>95</v>
      </c>
      <c r="C135" s="14" t="s">
        <v>1</v>
      </c>
      <c r="D135" s="31">
        <v>0.8</v>
      </c>
      <c r="E135" s="16">
        <v>0</v>
      </c>
      <c r="F135" s="16">
        <v>0</v>
      </c>
      <c r="G135" s="19">
        <f t="shared" si="78"/>
        <v>0</v>
      </c>
      <c r="H135" s="19">
        <f t="shared" si="79"/>
        <v>0</v>
      </c>
      <c r="I135" s="19">
        <f t="shared" si="80"/>
        <v>0</v>
      </c>
    </row>
    <row r="136" spans="1:9" ht="31.5" x14ac:dyDescent="0.25">
      <c r="A136" s="14"/>
      <c r="B136" s="84" t="s">
        <v>137</v>
      </c>
      <c r="C136" s="14" t="s">
        <v>52</v>
      </c>
      <c r="D136" s="31">
        <f>1.8*2.25-0.5*0.5</f>
        <v>3.8</v>
      </c>
      <c r="E136" s="16">
        <v>0</v>
      </c>
      <c r="F136" s="16">
        <v>0</v>
      </c>
      <c r="G136" s="19">
        <f t="shared" si="78"/>
        <v>0</v>
      </c>
      <c r="H136" s="19">
        <f t="shared" si="79"/>
        <v>0</v>
      </c>
      <c r="I136" s="19">
        <f t="shared" si="80"/>
        <v>0</v>
      </c>
    </row>
    <row r="137" spans="1:9" ht="63" x14ac:dyDescent="0.25">
      <c r="A137" s="14"/>
      <c r="B137" s="84" t="s">
        <v>90</v>
      </c>
      <c r="C137" s="14" t="s">
        <v>39</v>
      </c>
      <c r="D137" s="31">
        <v>3</v>
      </c>
      <c r="E137" s="16">
        <v>0</v>
      </c>
      <c r="F137" s="16">
        <v>0</v>
      </c>
      <c r="G137" s="19">
        <f t="shared" si="78"/>
        <v>0</v>
      </c>
      <c r="H137" s="19">
        <f t="shared" si="79"/>
        <v>0</v>
      </c>
      <c r="I137" s="19">
        <f t="shared" si="80"/>
        <v>0</v>
      </c>
    </row>
    <row r="138" spans="1:9" ht="15.75" x14ac:dyDescent="0.25">
      <c r="A138" s="14"/>
      <c r="B138" s="15" t="s">
        <v>108</v>
      </c>
      <c r="C138" s="14" t="s">
        <v>52</v>
      </c>
      <c r="D138" s="31">
        <f>3.25*2.8+0.9*4*0.2+
(3.25*2+2.8*2)*(0.3+1.8+0.2)-0.6*0.45-0.6*0.48+
(3.25*2+2.8*2)*0.14+
2.8*3.25-0.25*3.14*0.84*0.84*2+
3.14*0.84*(0.89+0.01+0.07)*2</f>
        <v>51.89515200000001</v>
      </c>
      <c r="E138" s="16">
        <v>0</v>
      </c>
      <c r="F138" s="16">
        <v>0</v>
      </c>
      <c r="G138" s="19">
        <f t="shared" ref="G138:G142" si="84">D138*E138</f>
        <v>0</v>
      </c>
      <c r="H138" s="19">
        <f t="shared" ref="H138:H142" si="85">D138*F138</f>
        <v>0</v>
      </c>
      <c r="I138" s="19">
        <f t="shared" ref="I138:I142" si="86">G138+H138</f>
        <v>0</v>
      </c>
    </row>
    <row r="139" spans="1:9" ht="15.75" x14ac:dyDescent="0.25">
      <c r="A139" s="14"/>
      <c r="B139" s="15" t="s">
        <v>129</v>
      </c>
      <c r="C139" s="14" t="s">
        <v>52</v>
      </c>
      <c r="D139" s="31">
        <f>3.25*2.8+0.9*4*0.2+
(3.25*2+2.8*2)*(0.3+1.8+0.2)-0.6*0.45-0.6*0.48+
3.14*0.84*(0.89+0.01+0.07)*2</f>
        <v>42.208944000000002</v>
      </c>
      <c r="E139" s="16">
        <v>0</v>
      </c>
      <c r="F139" s="16">
        <v>0</v>
      </c>
      <c r="G139" s="19">
        <f t="shared" si="84"/>
        <v>0</v>
      </c>
      <c r="H139" s="19">
        <f t="shared" si="85"/>
        <v>0</v>
      </c>
      <c r="I139" s="19">
        <f t="shared" si="86"/>
        <v>0</v>
      </c>
    </row>
    <row r="140" spans="1:9" ht="31.5" x14ac:dyDescent="0.25">
      <c r="A140" s="14"/>
      <c r="B140" s="18" t="s">
        <v>136</v>
      </c>
      <c r="C140" s="14" t="s">
        <v>52</v>
      </c>
      <c r="D140" s="31">
        <f>2.8*3.25-0.25*3.14*0.84*0.84*2</f>
        <v>7.9922079999999998</v>
      </c>
      <c r="E140" s="16">
        <v>0</v>
      </c>
      <c r="F140" s="16">
        <v>0</v>
      </c>
      <c r="G140" s="19">
        <f t="shared" si="84"/>
        <v>0</v>
      </c>
      <c r="H140" s="19">
        <f t="shared" si="85"/>
        <v>0</v>
      </c>
      <c r="I140" s="19">
        <f t="shared" si="86"/>
        <v>0</v>
      </c>
    </row>
    <row r="141" spans="1:9" ht="31.5" x14ac:dyDescent="0.25">
      <c r="A141" s="14"/>
      <c r="B141" s="18" t="s">
        <v>109</v>
      </c>
      <c r="C141" s="14" t="s">
        <v>52</v>
      </c>
      <c r="D141" s="31">
        <f>2.8*3.25-0.25*3.14*0.84*0.84*2+
(3.25*2+2.8*2)*(0.14+0.5)</f>
        <v>15.736208</v>
      </c>
      <c r="E141" s="16">
        <v>0</v>
      </c>
      <c r="F141" s="16">
        <v>0</v>
      </c>
      <c r="G141" s="19">
        <f t="shared" si="84"/>
        <v>0</v>
      </c>
      <c r="H141" s="19">
        <f t="shared" si="85"/>
        <v>0</v>
      </c>
      <c r="I141" s="19">
        <f t="shared" si="86"/>
        <v>0</v>
      </c>
    </row>
    <row r="142" spans="1:9" ht="31.5" x14ac:dyDescent="0.25">
      <c r="A142" s="14"/>
      <c r="B142" s="18" t="s">
        <v>135</v>
      </c>
      <c r="C142" s="14" t="s">
        <v>52</v>
      </c>
      <c r="D142" s="31">
        <f>2.8*3.25-0.25*3.14*0.84*0.84*2</f>
        <v>7.9922079999999998</v>
      </c>
      <c r="E142" s="16">
        <v>0</v>
      </c>
      <c r="F142" s="16">
        <v>0</v>
      </c>
      <c r="G142" s="19">
        <f t="shared" si="84"/>
        <v>0</v>
      </c>
      <c r="H142" s="19">
        <f t="shared" si="85"/>
        <v>0</v>
      </c>
      <c r="I142" s="19">
        <f t="shared" si="86"/>
        <v>0</v>
      </c>
    </row>
    <row r="143" spans="1:9" ht="15.75" x14ac:dyDescent="0.25">
      <c r="A143" s="18"/>
      <c r="B143" s="34" t="s">
        <v>98</v>
      </c>
      <c r="C143" s="33"/>
      <c r="D143" s="33"/>
      <c r="E143" s="35"/>
      <c r="F143" s="35"/>
      <c r="G143" s="36">
        <f>SUM(G119:G142)</f>
        <v>0</v>
      </c>
      <c r="H143" s="36">
        <f t="shared" ref="H143:I143" si="87">SUM(H119:H142)</f>
        <v>0</v>
      </c>
      <c r="I143" s="36">
        <f t="shared" si="87"/>
        <v>0</v>
      </c>
    </row>
    <row r="144" spans="1:9" ht="15.75" x14ac:dyDescent="0.25">
      <c r="A144" s="115" t="s">
        <v>181</v>
      </c>
      <c r="B144" s="116"/>
      <c r="C144" s="116"/>
      <c r="D144" s="116"/>
      <c r="E144" s="116"/>
      <c r="F144" s="116"/>
      <c r="G144" s="116"/>
      <c r="H144" s="116"/>
      <c r="I144" s="117"/>
    </row>
    <row r="145" spans="1:9" ht="15.75" x14ac:dyDescent="0.25">
      <c r="A145" s="18"/>
      <c r="B145" s="29" t="s">
        <v>97</v>
      </c>
      <c r="C145" s="33" t="s">
        <v>1</v>
      </c>
      <c r="D145" s="33">
        <v>2.2999999999999998</v>
      </c>
      <c r="E145" s="35">
        <v>0</v>
      </c>
      <c r="F145" s="35">
        <v>0</v>
      </c>
      <c r="G145" s="19">
        <f t="shared" ref="G145" si="88">D145*E145</f>
        <v>0</v>
      </c>
      <c r="H145" s="19">
        <f t="shared" ref="H145" si="89">D145*F145</f>
        <v>0</v>
      </c>
      <c r="I145" s="19">
        <f t="shared" ref="I145" si="90">G145+H145</f>
        <v>0</v>
      </c>
    </row>
    <row r="146" spans="1:9" ht="15.75" x14ac:dyDescent="0.25">
      <c r="A146" s="18"/>
      <c r="B146" s="18" t="s">
        <v>99</v>
      </c>
      <c r="C146" s="33" t="s">
        <v>0</v>
      </c>
      <c r="D146" s="33">
        <v>1</v>
      </c>
      <c r="E146" s="35">
        <v>0</v>
      </c>
      <c r="F146" s="35">
        <v>0</v>
      </c>
      <c r="G146" s="19">
        <f t="shared" ref="G146:G161" si="91">D146*E146</f>
        <v>0</v>
      </c>
      <c r="H146" s="19">
        <f t="shared" ref="H146:H161" si="92">D146*F146</f>
        <v>0</v>
      </c>
      <c r="I146" s="19">
        <f t="shared" ref="I146:I161" si="93">G146+H146</f>
        <v>0</v>
      </c>
    </row>
    <row r="147" spans="1:9" ht="15.75" x14ac:dyDescent="0.25">
      <c r="A147" s="18"/>
      <c r="B147" s="18" t="s">
        <v>100</v>
      </c>
      <c r="C147" s="33" t="s">
        <v>0</v>
      </c>
      <c r="D147" s="33">
        <v>4</v>
      </c>
      <c r="E147" s="35">
        <v>0</v>
      </c>
      <c r="F147" s="35">
        <v>0</v>
      </c>
      <c r="G147" s="19">
        <f t="shared" si="91"/>
        <v>0</v>
      </c>
      <c r="H147" s="19">
        <f t="shared" si="92"/>
        <v>0</v>
      </c>
      <c r="I147" s="19">
        <f t="shared" si="93"/>
        <v>0</v>
      </c>
    </row>
    <row r="148" spans="1:9" ht="15.75" x14ac:dyDescent="0.25">
      <c r="A148" s="18"/>
      <c r="B148" s="18" t="s">
        <v>101</v>
      </c>
      <c r="C148" s="33" t="s">
        <v>0</v>
      </c>
      <c r="D148" s="33">
        <v>1</v>
      </c>
      <c r="E148" s="35">
        <v>0</v>
      </c>
      <c r="F148" s="35">
        <v>0</v>
      </c>
      <c r="G148" s="19">
        <f t="shared" si="91"/>
        <v>0</v>
      </c>
      <c r="H148" s="19">
        <f t="shared" si="92"/>
        <v>0</v>
      </c>
      <c r="I148" s="19">
        <f t="shared" si="93"/>
        <v>0</v>
      </c>
    </row>
    <row r="149" spans="1:9" ht="15.75" x14ac:dyDescent="0.25">
      <c r="A149" s="18"/>
      <c r="B149" s="18" t="s">
        <v>102</v>
      </c>
      <c r="C149" s="33" t="s">
        <v>0</v>
      </c>
      <c r="D149" s="33">
        <v>1</v>
      </c>
      <c r="E149" s="35">
        <v>0</v>
      </c>
      <c r="F149" s="35">
        <v>0</v>
      </c>
      <c r="G149" s="19">
        <f t="shared" si="91"/>
        <v>0</v>
      </c>
      <c r="H149" s="19">
        <f t="shared" si="92"/>
        <v>0</v>
      </c>
      <c r="I149" s="19">
        <f t="shared" si="93"/>
        <v>0</v>
      </c>
    </row>
    <row r="150" spans="1:9" ht="15.75" x14ac:dyDescent="0.25">
      <c r="A150" s="18"/>
      <c r="B150" s="18" t="s">
        <v>103</v>
      </c>
      <c r="C150" s="33" t="s">
        <v>0</v>
      </c>
      <c r="D150" s="33">
        <v>1</v>
      </c>
      <c r="E150" s="35">
        <v>0</v>
      </c>
      <c r="F150" s="35">
        <v>0</v>
      </c>
      <c r="G150" s="19">
        <f t="shared" si="91"/>
        <v>0</v>
      </c>
      <c r="H150" s="19">
        <f t="shared" si="92"/>
        <v>0</v>
      </c>
      <c r="I150" s="19">
        <f t="shared" si="93"/>
        <v>0</v>
      </c>
    </row>
    <row r="151" spans="1:9" ht="15.75" x14ac:dyDescent="0.25">
      <c r="A151" s="18"/>
      <c r="B151" s="18" t="s">
        <v>84</v>
      </c>
      <c r="C151" s="33" t="s">
        <v>0</v>
      </c>
      <c r="D151" s="33">
        <v>1</v>
      </c>
      <c r="E151" s="35">
        <v>0</v>
      </c>
      <c r="F151" s="35">
        <v>0</v>
      </c>
      <c r="G151" s="19">
        <f t="shared" si="91"/>
        <v>0</v>
      </c>
      <c r="H151" s="19">
        <f t="shared" si="92"/>
        <v>0</v>
      </c>
      <c r="I151" s="19">
        <f t="shared" si="93"/>
        <v>0</v>
      </c>
    </row>
    <row r="152" spans="1:9" ht="31.5" x14ac:dyDescent="0.25">
      <c r="A152" s="18"/>
      <c r="B152" s="85" t="s">
        <v>104</v>
      </c>
      <c r="C152" s="33" t="s">
        <v>0</v>
      </c>
      <c r="D152" s="33">
        <v>1</v>
      </c>
      <c r="E152" s="35">
        <v>0</v>
      </c>
      <c r="F152" s="35">
        <v>0</v>
      </c>
      <c r="G152" s="19">
        <f t="shared" si="91"/>
        <v>0</v>
      </c>
      <c r="H152" s="19">
        <f t="shared" si="92"/>
        <v>0</v>
      </c>
      <c r="I152" s="19">
        <f t="shared" si="93"/>
        <v>0</v>
      </c>
    </row>
    <row r="153" spans="1:9" ht="15.75" x14ac:dyDescent="0.25">
      <c r="A153" s="18"/>
      <c r="B153" s="85" t="s">
        <v>111</v>
      </c>
      <c r="C153" s="14" t="s">
        <v>0</v>
      </c>
      <c r="D153" s="88">
        <v>1</v>
      </c>
      <c r="E153" s="16">
        <v>0</v>
      </c>
      <c r="F153" s="16">
        <v>0</v>
      </c>
      <c r="G153" s="19">
        <f t="shared" si="91"/>
        <v>0</v>
      </c>
      <c r="H153" s="19">
        <f t="shared" si="92"/>
        <v>0</v>
      </c>
      <c r="I153" s="19">
        <f t="shared" si="93"/>
        <v>0</v>
      </c>
    </row>
    <row r="154" spans="1:9" ht="15.75" x14ac:dyDescent="0.25">
      <c r="A154" s="18"/>
      <c r="B154" s="85" t="s">
        <v>105</v>
      </c>
      <c r="C154" s="33" t="s">
        <v>0</v>
      </c>
      <c r="D154" s="33">
        <v>1</v>
      </c>
      <c r="E154" s="35">
        <v>0</v>
      </c>
      <c r="F154" s="35">
        <v>0</v>
      </c>
      <c r="G154" s="19">
        <f t="shared" si="91"/>
        <v>0</v>
      </c>
      <c r="H154" s="19">
        <f t="shared" si="92"/>
        <v>0</v>
      </c>
      <c r="I154" s="19">
        <f t="shared" si="93"/>
        <v>0</v>
      </c>
    </row>
    <row r="155" spans="1:9" ht="78.75" x14ac:dyDescent="0.25">
      <c r="A155" s="18"/>
      <c r="B155" s="84" t="s">
        <v>192</v>
      </c>
      <c r="C155" s="14" t="s">
        <v>164</v>
      </c>
      <c r="D155" s="88">
        <v>1</v>
      </c>
      <c r="E155" s="35">
        <v>0</v>
      </c>
      <c r="F155" s="35">
        <v>0</v>
      </c>
      <c r="G155" s="19">
        <f t="shared" si="91"/>
        <v>0</v>
      </c>
      <c r="H155" s="19">
        <f t="shared" si="92"/>
        <v>0</v>
      </c>
      <c r="I155" s="19">
        <f t="shared" si="93"/>
        <v>0</v>
      </c>
    </row>
    <row r="156" spans="1:9" ht="15.75" x14ac:dyDescent="0.25">
      <c r="A156" s="18"/>
      <c r="B156" s="84" t="s">
        <v>110</v>
      </c>
      <c r="C156" s="14" t="s">
        <v>0</v>
      </c>
      <c r="D156" s="88">
        <v>1</v>
      </c>
      <c r="E156" s="35">
        <v>0</v>
      </c>
      <c r="F156" s="35">
        <v>0</v>
      </c>
      <c r="G156" s="19">
        <f t="shared" ref="G156" si="94">D156*E156</f>
        <v>0</v>
      </c>
      <c r="H156" s="19">
        <f t="shared" ref="H156" si="95">D156*F156</f>
        <v>0</v>
      </c>
      <c r="I156" s="19">
        <f t="shared" ref="I156" si="96">G156+H156</f>
        <v>0</v>
      </c>
    </row>
    <row r="157" spans="1:9" ht="15.75" x14ac:dyDescent="0.25">
      <c r="A157" s="18"/>
      <c r="B157" s="18" t="s">
        <v>108</v>
      </c>
      <c r="C157" s="33" t="s">
        <v>52</v>
      </c>
      <c r="D157" s="31">
        <f>0.25*3.14*1.5*1.5+3.14*1.5*0.1+
0.25*3.14*1.5*1.5-0.25*3.14*1.16*1.16+
3.14*1.16*(0.6*4+0.15)+
0.25*3.14*1.16*1.16-0.25*3.14*0.84*0.84+
3.14*0.84*(0.9+0.36)+
0.25*3.14*1*1+
3.14*1*(0.6*4)+
0.25*3.14*1*1-0.25*3.14*0.7*0.7+
3.14*0.7*(0.9+0.36)</f>
        <v>27.551930000000002</v>
      </c>
      <c r="E157" s="35">
        <v>0</v>
      </c>
      <c r="F157" s="35">
        <v>0</v>
      </c>
      <c r="G157" s="19">
        <f t="shared" si="91"/>
        <v>0</v>
      </c>
      <c r="H157" s="19">
        <f t="shared" si="92"/>
        <v>0</v>
      </c>
      <c r="I157" s="19">
        <f t="shared" si="93"/>
        <v>0</v>
      </c>
    </row>
    <row r="158" spans="1:9" ht="15.75" x14ac:dyDescent="0.25">
      <c r="A158" s="18"/>
      <c r="B158" s="18" t="s">
        <v>129</v>
      </c>
      <c r="C158" s="33" t="s">
        <v>52</v>
      </c>
      <c r="D158" s="31">
        <f>0.25*3.14*1.5*1.5+3.14*1.5*0.1+
0.25*3.14*1.5*1.5-0.25*3.14*1.16*1.16+
3.14*1.16*(0.6*4+0.15)+
0.25*3.14*1.16*1.16-0.25*3.14*0.84*0.84+
3.14*0.84*(0.9+0.36)+
0.25*3.14*1*1+
3.14*1*(0.6*4)+
0.25*3.14*1*1-0.25*3.14*0.7*0.7+
3.14*0.7*(0.9+0.36)</f>
        <v>27.551930000000002</v>
      </c>
      <c r="E158" s="35">
        <v>0</v>
      </c>
      <c r="F158" s="35">
        <v>0</v>
      </c>
      <c r="G158" s="19">
        <f t="shared" si="91"/>
        <v>0</v>
      </c>
      <c r="H158" s="19">
        <f t="shared" si="92"/>
        <v>0</v>
      </c>
      <c r="I158" s="19">
        <f t="shared" si="93"/>
        <v>0</v>
      </c>
    </row>
    <row r="159" spans="1:9" ht="31.5" x14ac:dyDescent="0.25">
      <c r="A159" s="18"/>
      <c r="B159" s="18" t="s">
        <v>106</v>
      </c>
      <c r="C159" s="33" t="s">
        <v>52</v>
      </c>
      <c r="D159" s="87">
        <f>0.25*3.14*1.16*1.16-0.25*3.14*0.84*0.84</f>
        <v>0.50239999999999996</v>
      </c>
      <c r="E159" s="35">
        <v>0</v>
      </c>
      <c r="F159" s="35">
        <v>0</v>
      </c>
      <c r="G159" s="19">
        <f t="shared" si="91"/>
        <v>0</v>
      </c>
      <c r="H159" s="19">
        <f t="shared" si="92"/>
        <v>0</v>
      </c>
      <c r="I159" s="19">
        <f t="shared" si="93"/>
        <v>0</v>
      </c>
    </row>
    <row r="160" spans="1:9" ht="31.5" x14ac:dyDescent="0.25">
      <c r="A160" s="18"/>
      <c r="B160" s="18" t="s">
        <v>109</v>
      </c>
      <c r="C160" s="33" t="s">
        <v>52</v>
      </c>
      <c r="D160" s="87">
        <v>2.7</v>
      </c>
      <c r="E160" s="35">
        <v>0</v>
      </c>
      <c r="F160" s="35">
        <v>0</v>
      </c>
      <c r="G160" s="19">
        <f t="shared" si="91"/>
        <v>0</v>
      </c>
      <c r="H160" s="19">
        <f t="shared" si="92"/>
        <v>0</v>
      </c>
      <c r="I160" s="19">
        <f t="shared" si="93"/>
        <v>0</v>
      </c>
    </row>
    <row r="161" spans="1:9" ht="15.75" x14ac:dyDescent="0.25">
      <c r="A161" s="18"/>
      <c r="B161" s="18" t="s">
        <v>107</v>
      </c>
      <c r="C161" s="33" t="s">
        <v>52</v>
      </c>
      <c r="D161" s="87">
        <f>0.25*3.14*1.16*1.16-0.25*3.14*0.84*0.84</f>
        <v>0.50239999999999996</v>
      </c>
      <c r="E161" s="35">
        <v>0</v>
      </c>
      <c r="F161" s="35">
        <v>0</v>
      </c>
      <c r="G161" s="19">
        <f t="shared" si="91"/>
        <v>0</v>
      </c>
      <c r="H161" s="19">
        <f t="shared" si="92"/>
        <v>0</v>
      </c>
      <c r="I161" s="19">
        <f t="shared" si="93"/>
        <v>0</v>
      </c>
    </row>
    <row r="162" spans="1:9" ht="15.75" x14ac:dyDescent="0.25">
      <c r="A162" s="18"/>
      <c r="B162" s="34" t="s">
        <v>112</v>
      </c>
      <c r="C162" s="33"/>
      <c r="D162" s="33"/>
      <c r="E162" s="35"/>
      <c r="F162" s="35"/>
      <c r="G162" s="36">
        <f>SUM(G145:G161)</f>
        <v>0</v>
      </c>
      <c r="H162" s="36">
        <f t="shared" ref="H162:I162" si="97">SUM(H145:H161)</f>
        <v>0</v>
      </c>
      <c r="I162" s="36">
        <f t="shared" si="97"/>
        <v>0</v>
      </c>
    </row>
    <row r="163" spans="1:9" ht="15.75" x14ac:dyDescent="0.25">
      <c r="A163" s="115" t="s">
        <v>182</v>
      </c>
      <c r="B163" s="116"/>
      <c r="C163" s="116"/>
      <c r="D163" s="116"/>
      <c r="E163" s="116"/>
      <c r="F163" s="116"/>
      <c r="G163" s="116"/>
      <c r="H163" s="116"/>
      <c r="I163" s="117"/>
    </row>
    <row r="164" spans="1:9" ht="15.75" x14ac:dyDescent="0.25">
      <c r="A164" s="18"/>
      <c r="B164" s="29" t="s">
        <v>97</v>
      </c>
      <c r="C164" s="33" t="s">
        <v>1</v>
      </c>
      <c r="D164" s="33">
        <v>2.2999999999999998</v>
      </c>
      <c r="E164" s="35">
        <v>0</v>
      </c>
      <c r="F164" s="35">
        <v>0</v>
      </c>
      <c r="G164" s="19">
        <f t="shared" ref="G164:G180" si="98">D164*E164</f>
        <v>0</v>
      </c>
      <c r="H164" s="19">
        <f t="shared" ref="H164:H180" si="99">D164*F164</f>
        <v>0</v>
      </c>
      <c r="I164" s="19">
        <f t="shared" ref="I164:I180" si="100">G164+H164</f>
        <v>0</v>
      </c>
    </row>
    <row r="165" spans="1:9" ht="15.75" x14ac:dyDescent="0.25">
      <c r="A165" s="18"/>
      <c r="B165" s="18" t="s">
        <v>99</v>
      </c>
      <c r="C165" s="33" t="s">
        <v>0</v>
      </c>
      <c r="D165" s="33">
        <v>1</v>
      </c>
      <c r="E165" s="35">
        <v>0</v>
      </c>
      <c r="F165" s="35">
        <v>0</v>
      </c>
      <c r="G165" s="19">
        <f t="shared" si="98"/>
        <v>0</v>
      </c>
      <c r="H165" s="19">
        <f t="shared" si="99"/>
        <v>0</v>
      </c>
      <c r="I165" s="19">
        <f t="shared" si="100"/>
        <v>0</v>
      </c>
    </row>
    <row r="166" spans="1:9" ht="15.75" x14ac:dyDescent="0.25">
      <c r="A166" s="18"/>
      <c r="B166" s="18" t="s">
        <v>100</v>
      </c>
      <c r="C166" s="33" t="s">
        <v>0</v>
      </c>
      <c r="D166" s="33">
        <v>4</v>
      </c>
      <c r="E166" s="35">
        <v>0</v>
      </c>
      <c r="F166" s="35">
        <v>0</v>
      </c>
      <c r="G166" s="19">
        <f t="shared" si="98"/>
        <v>0</v>
      </c>
      <c r="H166" s="19">
        <f t="shared" si="99"/>
        <v>0</v>
      </c>
      <c r="I166" s="19">
        <f t="shared" si="100"/>
        <v>0</v>
      </c>
    </row>
    <row r="167" spans="1:9" ht="15.75" x14ac:dyDescent="0.25">
      <c r="A167" s="18"/>
      <c r="B167" s="18" t="s">
        <v>101</v>
      </c>
      <c r="C167" s="33" t="s">
        <v>0</v>
      </c>
      <c r="D167" s="33">
        <v>1</v>
      </c>
      <c r="E167" s="35">
        <v>0</v>
      </c>
      <c r="F167" s="35">
        <v>0</v>
      </c>
      <c r="G167" s="19">
        <f t="shared" si="98"/>
        <v>0</v>
      </c>
      <c r="H167" s="19">
        <f t="shared" si="99"/>
        <v>0</v>
      </c>
      <c r="I167" s="19">
        <f t="shared" si="100"/>
        <v>0</v>
      </c>
    </row>
    <row r="168" spans="1:9" ht="15.75" x14ac:dyDescent="0.25">
      <c r="A168" s="18"/>
      <c r="B168" s="18" t="s">
        <v>102</v>
      </c>
      <c r="C168" s="33" t="s">
        <v>0</v>
      </c>
      <c r="D168" s="33">
        <v>1</v>
      </c>
      <c r="E168" s="35">
        <v>0</v>
      </c>
      <c r="F168" s="35">
        <v>0</v>
      </c>
      <c r="G168" s="19">
        <f t="shared" si="98"/>
        <v>0</v>
      </c>
      <c r="H168" s="19">
        <f t="shared" si="99"/>
        <v>0</v>
      </c>
      <c r="I168" s="19">
        <f t="shared" si="100"/>
        <v>0</v>
      </c>
    </row>
    <row r="169" spans="1:9" ht="15.75" x14ac:dyDescent="0.25">
      <c r="A169" s="18"/>
      <c r="B169" s="18" t="s">
        <v>103</v>
      </c>
      <c r="C169" s="33" t="s">
        <v>0</v>
      </c>
      <c r="D169" s="33">
        <v>1</v>
      </c>
      <c r="E169" s="35">
        <v>0</v>
      </c>
      <c r="F169" s="35">
        <v>0</v>
      </c>
      <c r="G169" s="19">
        <f t="shared" si="98"/>
        <v>0</v>
      </c>
      <c r="H169" s="19">
        <f t="shared" si="99"/>
        <v>0</v>
      </c>
      <c r="I169" s="19">
        <f t="shared" si="100"/>
        <v>0</v>
      </c>
    </row>
    <row r="170" spans="1:9" ht="15.75" x14ac:dyDescent="0.25">
      <c r="A170" s="18"/>
      <c r="B170" s="18" t="s">
        <v>84</v>
      </c>
      <c r="C170" s="33" t="s">
        <v>0</v>
      </c>
      <c r="D170" s="33">
        <v>1</v>
      </c>
      <c r="E170" s="35">
        <v>0</v>
      </c>
      <c r="F170" s="35">
        <v>0</v>
      </c>
      <c r="G170" s="19">
        <f t="shared" si="98"/>
        <v>0</v>
      </c>
      <c r="H170" s="19">
        <f t="shared" si="99"/>
        <v>0</v>
      </c>
      <c r="I170" s="19">
        <f t="shared" si="100"/>
        <v>0</v>
      </c>
    </row>
    <row r="171" spans="1:9" ht="31.5" x14ac:dyDescent="0.25">
      <c r="A171" s="18"/>
      <c r="B171" s="85" t="s">
        <v>104</v>
      </c>
      <c r="C171" s="33" t="s">
        <v>0</v>
      </c>
      <c r="D171" s="33">
        <v>1</v>
      </c>
      <c r="E171" s="35">
        <v>0</v>
      </c>
      <c r="F171" s="35">
        <v>0</v>
      </c>
      <c r="G171" s="19">
        <f t="shared" si="98"/>
        <v>0</v>
      </c>
      <c r="H171" s="19">
        <f t="shared" si="99"/>
        <v>0</v>
      </c>
      <c r="I171" s="19">
        <f t="shared" si="100"/>
        <v>0</v>
      </c>
    </row>
    <row r="172" spans="1:9" ht="15.75" x14ac:dyDescent="0.25">
      <c r="A172" s="18"/>
      <c r="B172" s="85" t="s">
        <v>111</v>
      </c>
      <c r="C172" s="14" t="s">
        <v>0</v>
      </c>
      <c r="D172" s="88">
        <v>1</v>
      </c>
      <c r="E172" s="16">
        <v>0</v>
      </c>
      <c r="F172" s="16">
        <v>0</v>
      </c>
      <c r="G172" s="19">
        <f t="shared" si="98"/>
        <v>0</v>
      </c>
      <c r="H172" s="19">
        <f t="shared" si="99"/>
        <v>0</v>
      </c>
      <c r="I172" s="19">
        <f t="shared" si="100"/>
        <v>0</v>
      </c>
    </row>
    <row r="173" spans="1:9" ht="15.75" x14ac:dyDescent="0.25">
      <c r="A173" s="18"/>
      <c r="B173" s="85" t="s">
        <v>105</v>
      </c>
      <c r="C173" s="33" t="s">
        <v>0</v>
      </c>
      <c r="D173" s="33">
        <v>1</v>
      </c>
      <c r="E173" s="35">
        <v>0</v>
      </c>
      <c r="F173" s="35">
        <v>0</v>
      </c>
      <c r="G173" s="19">
        <f t="shared" si="98"/>
        <v>0</v>
      </c>
      <c r="H173" s="19">
        <f t="shared" si="99"/>
        <v>0</v>
      </c>
      <c r="I173" s="19">
        <f t="shared" si="100"/>
        <v>0</v>
      </c>
    </row>
    <row r="174" spans="1:9" ht="78.75" x14ac:dyDescent="0.25">
      <c r="A174" s="18"/>
      <c r="B174" s="84" t="s">
        <v>192</v>
      </c>
      <c r="C174" s="14" t="s">
        <v>164</v>
      </c>
      <c r="D174" s="88">
        <v>1</v>
      </c>
      <c r="E174" s="35">
        <v>0</v>
      </c>
      <c r="F174" s="35">
        <v>0</v>
      </c>
      <c r="G174" s="19">
        <f t="shared" si="98"/>
        <v>0</v>
      </c>
      <c r="H174" s="19">
        <f t="shared" si="99"/>
        <v>0</v>
      </c>
      <c r="I174" s="19">
        <f t="shared" si="100"/>
        <v>0</v>
      </c>
    </row>
    <row r="175" spans="1:9" ht="15.75" x14ac:dyDescent="0.25">
      <c r="A175" s="18"/>
      <c r="B175" s="84" t="s">
        <v>110</v>
      </c>
      <c r="C175" s="14" t="s">
        <v>0</v>
      </c>
      <c r="D175" s="88">
        <v>1</v>
      </c>
      <c r="E175" s="35">
        <v>0</v>
      </c>
      <c r="F175" s="35">
        <v>0</v>
      </c>
      <c r="G175" s="19">
        <f t="shared" si="98"/>
        <v>0</v>
      </c>
      <c r="H175" s="19">
        <f t="shared" si="99"/>
        <v>0</v>
      </c>
      <c r="I175" s="19">
        <f t="shared" si="100"/>
        <v>0</v>
      </c>
    </row>
    <row r="176" spans="1:9" ht="15.75" x14ac:dyDescent="0.25">
      <c r="A176" s="18"/>
      <c r="B176" s="15" t="s">
        <v>108</v>
      </c>
      <c r="C176" s="33" t="s">
        <v>52</v>
      </c>
      <c r="D176" s="31">
        <f>0.25*3.14*1.5*1.5+3.14*1.5*0.1+
0.25*3.14*1.5*1.5-0.25*3.14*1.16*1.16+
3.14*1.16*(0.6*4+0.15)+
0.25*3.14*1.16*1.16-0.25*3.14*0.84*0.84+
3.14*0.84*(0.9+0.36)+
0.25*3.14*1*1+
3.14*1*(0.6*4)+
0.25*3.14*1*1-0.25*3.14*0.7*0.7+
3.14*0.7*(0.9+0.36)</f>
        <v>27.551930000000002</v>
      </c>
      <c r="E176" s="35">
        <v>0</v>
      </c>
      <c r="F176" s="35">
        <v>0</v>
      </c>
      <c r="G176" s="19">
        <f t="shared" si="98"/>
        <v>0</v>
      </c>
      <c r="H176" s="19">
        <f t="shared" si="99"/>
        <v>0</v>
      </c>
      <c r="I176" s="19">
        <f t="shared" si="100"/>
        <v>0</v>
      </c>
    </row>
    <row r="177" spans="1:9" ht="15.75" x14ac:dyDescent="0.25">
      <c r="A177" s="18"/>
      <c r="B177" s="15" t="s">
        <v>129</v>
      </c>
      <c r="C177" s="33" t="s">
        <v>52</v>
      </c>
      <c r="D177" s="31">
        <f>0.25*3.14*1.5*1.5+3.14*1.5*0.1+
0.25*3.14*1.5*1.5-0.25*3.14*1.16*1.16+
3.14*1.16*(0.6*4+0.15)+
0.25*3.14*1.16*1.16-0.25*3.14*0.84*0.84+
3.14*0.84*(0.9+0.36)+
0.25*3.14*1*1+
3.14*1*(0.6*4)+
0.25*3.14*1*1-0.25*3.14*0.7*0.7+
3.14*0.7*(0.9+0.36)</f>
        <v>27.551930000000002</v>
      </c>
      <c r="E177" s="35">
        <v>0</v>
      </c>
      <c r="F177" s="35">
        <v>0</v>
      </c>
      <c r="G177" s="19">
        <f t="shared" si="98"/>
        <v>0</v>
      </c>
      <c r="H177" s="19">
        <f t="shared" si="99"/>
        <v>0</v>
      </c>
      <c r="I177" s="19">
        <f t="shared" si="100"/>
        <v>0</v>
      </c>
    </row>
    <row r="178" spans="1:9" ht="31.5" x14ac:dyDescent="0.25">
      <c r="A178" s="18"/>
      <c r="B178" s="18" t="s">
        <v>106</v>
      </c>
      <c r="C178" s="33" t="s">
        <v>52</v>
      </c>
      <c r="D178" s="87">
        <f>0.25*3.14*1.16*1.16-0.25*3.14*0.84*0.84</f>
        <v>0.50239999999999996</v>
      </c>
      <c r="E178" s="35">
        <v>0</v>
      </c>
      <c r="F178" s="35">
        <v>0</v>
      </c>
      <c r="G178" s="19">
        <f t="shared" si="98"/>
        <v>0</v>
      </c>
      <c r="H178" s="19">
        <f t="shared" si="99"/>
        <v>0</v>
      </c>
      <c r="I178" s="19">
        <f t="shared" si="100"/>
        <v>0</v>
      </c>
    </row>
    <row r="179" spans="1:9" ht="31.5" x14ac:dyDescent="0.25">
      <c r="A179" s="18"/>
      <c r="B179" s="18" t="s">
        <v>109</v>
      </c>
      <c r="C179" s="33" t="s">
        <v>52</v>
      </c>
      <c r="D179" s="87">
        <v>2.7</v>
      </c>
      <c r="E179" s="35">
        <v>0</v>
      </c>
      <c r="F179" s="35">
        <v>0</v>
      </c>
      <c r="G179" s="19">
        <f t="shared" si="98"/>
        <v>0</v>
      </c>
      <c r="H179" s="19">
        <f t="shared" si="99"/>
        <v>0</v>
      </c>
      <c r="I179" s="19">
        <f t="shared" si="100"/>
        <v>0</v>
      </c>
    </row>
    <row r="180" spans="1:9" ht="15.75" x14ac:dyDescent="0.25">
      <c r="A180" s="18"/>
      <c r="B180" s="18" t="s">
        <v>107</v>
      </c>
      <c r="C180" s="33" t="s">
        <v>52</v>
      </c>
      <c r="D180" s="87">
        <f>0.25*3.14*1.16*1.16-0.25*3.14*0.84*0.84</f>
        <v>0.50239999999999996</v>
      </c>
      <c r="E180" s="35">
        <v>0</v>
      </c>
      <c r="F180" s="35">
        <v>0</v>
      </c>
      <c r="G180" s="19">
        <f t="shared" si="98"/>
        <v>0</v>
      </c>
      <c r="H180" s="19">
        <f t="shared" si="99"/>
        <v>0</v>
      </c>
      <c r="I180" s="19">
        <f t="shared" si="100"/>
        <v>0</v>
      </c>
    </row>
    <row r="181" spans="1:9" ht="15.75" x14ac:dyDescent="0.25">
      <c r="A181" s="18"/>
      <c r="B181" s="34" t="s">
        <v>113</v>
      </c>
      <c r="C181" s="33"/>
      <c r="D181" s="33"/>
      <c r="E181" s="35"/>
      <c r="F181" s="35"/>
      <c r="G181" s="36">
        <f>SUM(G164:G180)</f>
        <v>0</v>
      </c>
      <c r="H181" s="36">
        <f t="shared" ref="H181:I181" si="101">SUM(H164:H180)</f>
        <v>0</v>
      </c>
      <c r="I181" s="36">
        <f t="shared" si="101"/>
        <v>0</v>
      </c>
    </row>
    <row r="182" spans="1:9" ht="15.75" x14ac:dyDescent="0.25">
      <c r="A182" s="115" t="s">
        <v>183</v>
      </c>
      <c r="B182" s="116"/>
      <c r="C182" s="116"/>
      <c r="D182" s="116"/>
      <c r="E182" s="116"/>
      <c r="F182" s="116"/>
      <c r="G182" s="116"/>
      <c r="H182" s="116"/>
      <c r="I182" s="117"/>
    </row>
    <row r="183" spans="1:9" ht="47.25" x14ac:dyDescent="0.25">
      <c r="A183" s="18"/>
      <c r="B183" s="18" t="s">
        <v>194</v>
      </c>
      <c r="C183" s="33" t="s">
        <v>0</v>
      </c>
      <c r="D183" s="33">
        <v>2</v>
      </c>
      <c r="E183" s="35">
        <v>0</v>
      </c>
      <c r="F183" s="35">
        <v>0</v>
      </c>
      <c r="G183" s="19">
        <f t="shared" ref="G183" si="102">D183*E183</f>
        <v>0</v>
      </c>
      <c r="H183" s="19">
        <f t="shared" ref="H183" si="103">D183*F183</f>
        <v>0</v>
      </c>
      <c r="I183" s="19">
        <f t="shared" ref="I183" si="104">G183+H183</f>
        <v>0</v>
      </c>
    </row>
    <row r="184" spans="1:9" ht="47.25" x14ac:dyDescent="0.25">
      <c r="A184" s="18"/>
      <c r="B184" s="18" t="s">
        <v>195</v>
      </c>
      <c r="C184" s="33" t="s">
        <v>0</v>
      </c>
      <c r="D184" s="33">
        <v>4</v>
      </c>
      <c r="E184" s="35">
        <v>0</v>
      </c>
      <c r="F184" s="35">
        <v>0</v>
      </c>
      <c r="G184" s="19">
        <f t="shared" ref="G184:G205" si="105">D184*E184</f>
        <v>0</v>
      </c>
      <c r="H184" s="19">
        <f t="shared" ref="H184:H205" si="106">D184*F184</f>
        <v>0</v>
      </c>
      <c r="I184" s="19">
        <f t="shared" ref="I184:I205" si="107">G184+H184</f>
        <v>0</v>
      </c>
    </row>
    <row r="185" spans="1:9" ht="47.25" x14ac:dyDescent="0.25">
      <c r="A185" s="18"/>
      <c r="B185" s="18" t="s">
        <v>196</v>
      </c>
      <c r="C185" s="33" t="s">
        <v>0</v>
      </c>
      <c r="D185" s="33">
        <v>6</v>
      </c>
      <c r="E185" s="35">
        <v>0</v>
      </c>
      <c r="F185" s="35">
        <v>0</v>
      </c>
      <c r="G185" s="19">
        <f t="shared" si="105"/>
        <v>0</v>
      </c>
      <c r="H185" s="19">
        <f t="shared" si="106"/>
        <v>0</v>
      </c>
      <c r="I185" s="19">
        <f t="shared" si="107"/>
        <v>0</v>
      </c>
    </row>
    <row r="186" spans="1:9" ht="31.5" x14ac:dyDescent="0.25">
      <c r="A186" s="18"/>
      <c r="B186" s="18" t="s">
        <v>115</v>
      </c>
      <c r="C186" s="33" t="s">
        <v>0</v>
      </c>
      <c r="D186" s="33">
        <v>4</v>
      </c>
      <c r="E186" s="35">
        <v>0</v>
      </c>
      <c r="F186" s="35">
        <v>0</v>
      </c>
      <c r="G186" s="19">
        <f t="shared" si="105"/>
        <v>0</v>
      </c>
      <c r="H186" s="19">
        <f t="shared" si="106"/>
        <v>0</v>
      </c>
      <c r="I186" s="19">
        <f t="shared" si="107"/>
        <v>0</v>
      </c>
    </row>
    <row r="187" spans="1:9" ht="31.5" x14ac:dyDescent="0.25">
      <c r="A187" s="18"/>
      <c r="B187" s="18" t="s">
        <v>119</v>
      </c>
      <c r="C187" s="33" t="s">
        <v>39</v>
      </c>
      <c r="D187" s="33">
        <v>6</v>
      </c>
      <c r="E187" s="35">
        <v>0</v>
      </c>
      <c r="F187" s="35">
        <v>0</v>
      </c>
      <c r="G187" s="19">
        <f t="shared" si="105"/>
        <v>0</v>
      </c>
      <c r="H187" s="19">
        <f t="shared" si="106"/>
        <v>0</v>
      </c>
      <c r="I187" s="19">
        <f t="shared" si="107"/>
        <v>0</v>
      </c>
    </row>
    <row r="188" spans="1:9" ht="31.5" x14ac:dyDescent="0.25">
      <c r="A188" s="18"/>
      <c r="B188" s="18" t="s">
        <v>120</v>
      </c>
      <c r="C188" s="33" t="s">
        <v>39</v>
      </c>
      <c r="D188" s="33">
        <v>1</v>
      </c>
      <c r="E188" s="35">
        <v>0</v>
      </c>
      <c r="F188" s="35">
        <v>0</v>
      </c>
      <c r="G188" s="19">
        <f t="shared" si="105"/>
        <v>0</v>
      </c>
      <c r="H188" s="19">
        <f t="shared" si="106"/>
        <v>0</v>
      </c>
      <c r="I188" s="19">
        <f t="shared" si="107"/>
        <v>0</v>
      </c>
    </row>
    <row r="189" spans="1:9" ht="31.5" x14ac:dyDescent="0.25">
      <c r="A189" s="18"/>
      <c r="B189" s="18" t="s">
        <v>121</v>
      </c>
      <c r="C189" s="33" t="s">
        <v>39</v>
      </c>
      <c r="D189" s="33">
        <f>2+2+4+2</f>
        <v>10</v>
      </c>
      <c r="E189" s="35">
        <v>0</v>
      </c>
      <c r="F189" s="35">
        <v>0</v>
      </c>
      <c r="G189" s="19">
        <f t="shared" si="105"/>
        <v>0</v>
      </c>
      <c r="H189" s="19">
        <f t="shared" si="106"/>
        <v>0</v>
      </c>
      <c r="I189" s="19">
        <f t="shared" si="107"/>
        <v>0</v>
      </c>
    </row>
    <row r="190" spans="1:9" ht="47.25" x14ac:dyDescent="0.25">
      <c r="A190" s="18"/>
      <c r="B190" s="18" t="s">
        <v>116</v>
      </c>
      <c r="C190" s="33" t="s">
        <v>39</v>
      </c>
      <c r="D190" s="33">
        <v>240</v>
      </c>
      <c r="E190" s="35">
        <v>0</v>
      </c>
      <c r="F190" s="35">
        <v>0</v>
      </c>
      <c r="G190" s="19">
        <f t="shared" si="105"/>
        <v>0</v>
      </c>
      <c r="H190" s="19">
        <f t="shared" si="106"/>
        <v>0</v>
      </c>
      <c r="I190" s="19">
        <f t="shared" si="107"/>
        <v>0</v>
      </c>
    </row>
    <row r="191" spans="1:9" ht="31.5" x14ac:dyDescent="0.25">
      <c r="A191" s="18"/>
      <c r="B191" s="18" t="s">
        <v>122</v>
      </c>
      <c r="C191" s="33" t="s">
        <v>39</v>
      </c>
      <c r="D191" s="33">
        <v>8</v>
      </c>
      <c r="E191" s="35">
        <v>0</v>
      </c>
      <c r="F191" s="35">
        <v>0</v>
      </c>
      <c r="G191" s="19">
        <f t="shared" si="105"/>
        <v>0</v>
      </c>
      <c r="H191" s="19">
        <f t="shared" si="106"/>
        <v>0</v>
      </c>
      <c r="I191" s="19">
        <f t="shared" si="107"/>
        <v>0</v>
      </c>
    </row>
    <row r="192" spans="1:9" ht="15.75" x14ac:dyDescent="0.25">
      <c r="A192" s="18"/>
      <c r="B192" s="18" t="s">
        <v>123</v>
      </c>
      <c r="C192" s="33" t="s">
        <v>0</v>
      </c>
      <c r="D192" s="33">
        <v>1</v>
      </c>
      <c r="E192" s="35">
        <v>0</v>
      </c>
      <c r="F192" s="35">
        <v>0</v>
      </c>
      <c r="G192" s="19">
        <f t="shared" si="105"/>
        <v>0</v>
      </c>
      <c r="H192" s="19">
        <f t="shared" si="106"/>
        <v>0</v>
      </c>
      <c r="I192" s="19">
        <f t="shared" si="107"/>
        <v>0</v>
      </c>
    </row>
    <row r="193" spans="1:9" ht="15.75" x14ac:dyDescent="0.25">
      <c r="A193" s="18"/>
      <c r="B193" s="18" t="s">
        <v>124</v>
      </c>
      <c r="C193" s="33" t="s">
        <v>0</v>
      </c>
      <c r="D193" s="33">
        <v>8</v>
      </c>
      <c r="E193" s="35">
        <v>0</v>
      </c>
      <c r="F193" s="35">
        <v>0</v>
      </c>
      <c r="G193" s="19">
        <f t="shared" si="105"/>
        <v>0</v>
      </c>
      <c r="H193" s="19">
        <f t="shared" si="106"/>
        <v>0</v>
      </c>
      <c r="I193" s="19">
        <f t="shared" si="107"/>
        <v>0</v>
      </c>
    </row>
    <row r="194" spans="1:9" ht="15.75" x14ac:dyDescent="0.25">
      <c r="A194" s="18"/>
      <c r="B194" s="18" t="s">
        <v>125</v>
      </c>
      <c r="C194" s="33" t="s">
        <v>0</v>
      </c>
      <c r="D194" s="33">
        <v>10</v>
      </c>
      <c r="E194" s="35">
        <v>0</v>
      </c>
      <c r="F194" s="35">
        <v>0</v>
      </c>
      <c r="G194" s="19">
        <f t="shared" si="105"/>
        <v>0</v>
      </c>
      <c r="H194" s="19">
        <f t="shared" si="106"/>
        <v>0</v>
      </c>
      <c r="I194" s="19">
        <f t="shared" si="107"/>
        <v>0</v>
      </c>
    </row>
    <row r="195" spans="1:9" ht="15.75" x14ac:dyDescent="0.25">
      <c r="A195" s="18"/>
      <c r="B195" s="18" t="s">
        <v>45</v>
      </c>
      <c r="C195" s="33" t="s">
        <v>0</v>
      </c>
      <c r="D195" s="33">
        <v>12</v>
      </c>
      <c r="E195" s="35">
        <v>0</v>
      </c>
      <c r="F195" s="35">
        <v>0</v>
      </c>
      <c r="G195" s="19">
        <f t="shared" si="105"/>
        <v>0</v>
      </c>
      <c r="H195" s="19">
        <f t="shared" si="106"/>
        <v>0</v>
      </c>
      <c r="I195" s="19">
        <f t="shared" si="107"/>
        <v>0</v>
      </c>
    </row>
    <row r="196" spans="1:9" ht="15.75" x14ac:dyDescent="0.25">
      <c r="A196" s="18"/>
      <c r="B196" s="18" t="s">
        <v>126</v>
      </c>
      <c r="C196" s="33" t="s">
        <v>0</v>
      </c>
      <c r="D196" s="33">
        <v>2</v>
      </c>
      <c r="E196" s="35">
        <v>0</v>
      </c>
      <c r="F196" s="35">
        <v>0</v>
      </c>
      <c r="G196" s="19">
        <f t="shared" si="105"/>
        <v>0</v>
      </c>
      <c r="H196" s="19">
        <f t="shared" si="106"/>
        <v>0</v>
      </c>
      <c r="I196" s="19">
        <f t="shared" si="107"/>
        <v>0</v>
      </c>
    </row>
    <row r="197" spans="1:9" ht="15.75" x14ac:dyDescent="0.25">
      <c r="A197" s="18"/>
      <c r="B197" s="18" t="s">
        <v>127</v>
      </c>
      <c r="C197" s="33" t="s">
        <v>0</v>
      </c>
      <c r="D197" s="33">
        <v>2</v>
      </c>
      <c r="E197" s="35">
        <v>0</v>
      </c>
      <c r="F197" s="35">
        <v>0</v>
      </c>
      <c r="G197" s="19">
        <f t="shared" si="105"/>
        <v>0</v>
      </c>
      <c r="H197" s="19">
        <f t="shared" si="106"/>
        <v>0</v>
      </c>
      <c r="I197" s="19">
        <f t="shared" si="107"/>
        <v>0</v>
      </c>
    </row>
    <row r="198" spans="1:9" ht="15.75" x14ac:dyDescent="0.25">
      <c r="A198" s="18"/>
      <c r="B198" s="18" t="s">
        <v>128</v>
      </c>
      <c r="C198" s="33" t="s">
        <v>0</v>
      </c>
      <c r="D198" s="33">
        <v>2</v>
      </c>
      <c r="E198" s="35">
        <v>0</v>
      </c>
      <c r="F198" s="35">
        <v>0</v>
      </c>
      <c r="G198" s="19">
        <f t="shared" si="105"/>
        <v>0</v>
      </c>
      <c r="H198" s="19">
        <f t="shared" si="106"/>
        <v>0</v>
      </c>
      <c r="I198" s="19">
        <f t="shared" si="107"/>
        <v>0</v>
      </c>
    </row>
    <row r="199" spans="1:9" ht="15.75" x14ac:dyDescent="0.25">
      <c r="A199" s="18"/>
      <c r="B199" s="18" t="s">
        <v>117</v>
      </c>
      <c r="C199" s="33" t="s">
        <v>0</v>
      </c>
      <c r="D199" s="33">
        <v>80</v>
      </c>
      <c r="E199" s="35">
        <v>0</v>
      </c>
      <c r="F199" s="35">
        <v>0</v>
      </c>
      <c r="G199" s="19">
        <f t="shared" si="105"/>
        <v>0</v>
      </c>
      <c r="H199" s="19">
        <f t="shared" si="106"/>
        <v>0</v>
      </c>
      <c r="I199" s="19">
        <f t="shared" si="107"/>
        <v>0</v>
      </c>
    </row>
    <row r="200" spans="1:9" ht="31.5" x14ac:dyDescent="0.25">
      <c r="A200" s="18"/>
      <c r="B200" s="18" t="s">
        <v>118</v>
      </c>
      <c r="C200" s="33" t="s">
        <v>0</v>
      </c>
      <c r="D200" s="33">
        <v>6</v>
      </c>
      <c r="E200" s="35">
        <v>0</v>
      </c>
      <c r="F200" s="35">
        <v>0</v>
      </c>
      <c r="G200" s="19">
        <f t="shared" si="105"/>
        <v>0</v>
      </c>
      <c r="H200" s="19">
        <f t="shared" si="106"/>
        <v>0</v>
      </c>
      <c r="I200" s="19">
        <f t="shared" si="107"/>
        <v>0</v>
      </c>
    </row>
    <row r="201" spans="1:9" ht="47.25" x14ac:dyDescent="0.25">
      <c r="A201" s="18"/>
      <c r="B201" s="18" t="s">
        <v>130</v>
      </c>
      <c r="C201" s="33" t="s">
        <v>52</v>
      </c>
      <c r="D201" s="33">
        <v>73</v>
      </c>
      <c r="E201" s="35">
        <v>0</v>
      </c>
      <c r="F201" s="35">
        <v>0</v>
      </c>
      <c r="G201" s="19">
        <f t="shared" si="105"/>
        <v>0</v>
      </c>
      <c r="H201" s="19">
        <f t="shared" si="106"/>
        <v>0</v>
      </c>
      <c r="I201" s="19">
        <f t="shared" si="107"/>
        <v>0</v>
      </c>
    </row>
    <row r="202" spans="1:9" ht="63" x14ac:dyDescent="0.25">
      <c r="A202" s="18"/>
      <c r="B202" s="18" t="s">
        <v>131</v>
      </c>
      <c r="C202" s="33" t="s">
        <v>52</v>
      </c>
      <c r="D202" s="33">
        <v>1.5</v>
      </c>
      <c r="E202" s="35">
        <v>0</v>
      </c>
      <c r="F202" s="35">
        <v>0</v>
      </c>
      <c r="G202" s="19">
        <f t="shared" si="105"/>
        <v>0</v>
      </c>
      <c r="H202" s="19">
        <f t="shared" si="106"/>
        <v>0</v>
      </c>
      <c r="I202" s="19">
        <f t="shared" si="107"/>
        <v>0</v>
      </c>
    </row>
    <row r="203" spans="1:9" ht="63" x14ac:dyDescent="0.25">
      <c r="A203" s="18"/>
      <c r="B203" s="43" t="s">
        <v>132</v>
      </c>
      <c r="C203" s="33" t="s">
        <v>1</v>
      </c>
      <c r="D203" s="33">
        <v>0.3</v>
      </c>
      <c r="E203" s="35">
        <v>0</v>
      </c>
      <c r="F203" s="35">
        <v>0</v>
      </c>
      <c r="G203" s="19">
        <f t="shared" si="105"/>
        <v>0</v>
      </c>
      <c r="H203" s="19">
        <f t="shared" si="106"/>
        <v>0</v>
      </c>
      <c r="I203" s="19">
        <f t="shared" si="107"/>
        <v>0</v>
      </c>
    </row>
    <row r="204" spans="1:9" ht="63" x14ac:dyDescent="0.25">
      <c r="A204" s="18"/>
      <c r="B204" s="43" t="s">
        <v>133</v>
      </c>
      <c r="C204" s="33" t="s">
        <v>1</v>
      </c>
      <c r="D204" s="33">
        <v>4.7</v>
      </c>
      <c r="E204" s="35">
        <v>0</v>
      </c>
      <c r="F204" s="35">
        <v>0</v>
      </c>
      <c r="G204" s="19">
        <f t="shared" si="105"/>
        <v>0</v>
      </c>
      <c r="H204" s="19">
        <f t="shared" si="106"/>
        <v>0</v>
      </c>
      <c r="I204" s="19">
        <f t="shared" si="107"/>
        <v>0</v>
      </c>
    </row>
    <row r="205" spans="1:9" ht="31.5" x14ac:dyDescent="0.25">
      <c r="A205" s="18"/>
      <c r="B205" s="15" t="s">
        <v>54</v>
      </c>
      <c r="C205" s="33" t="s">
        <v>52</v>
      </c>
      <c r="D205" s="33">
        <v>125</v>
      </c>
      <c r="E205" s="35">
        <v>0</v>
      </c>
      <c r="F205" s="35">
        <v>0</v>
      </c>
      <c r="G205" s="19">
        <f t="shared" si="105"/>
        <v>0</v>
      </c>
      <c r="H205" s="19">
        <f t="shared" si="106"/>
        <v>0</v>
      </c>
      <c r="I205" s="19">
        <f t="shared" si="107"/>
        <v>0</v>
      </c>
    </row>
    <row r="206" spans="1:9" ht="15.75" x14ac:dyDescent="0.25">
      <c r="A206" s="18"/>
      <c r="B206" s="34" t="s">
        <v>134</v>
      </c>
      <c r="C206" s="33"/>
      <c r="D206" s="33"/>
      <c r="E206" s="35"/>
      <c r="F206" s="35"/>
      <c r="G206" s="36">
        <f>SUM(G183:G205)</f>
        <v>0</v>
      </c>
      <c r="H206" s="36">
        <f t="shared" ref="H206:I206" si="108">SUM(H183:H205)</f>
        <v>0</v>
      </c>
      <c r="I206" s="36">
        <f t="shared" si="108"/>
        <v>0</v>
      </c>
    </row>
    <row r="207" spans="1:9" ht="30.75" customHeight="1" x14ac:dyDescent="0.25">
      <c r="A207" s="118" t="s">
        <v>188</v>
      </c>
      <c r="B207" s="119"/>
      <c r="C207" s="119"/>
      <c r="D207" s="119"/>
      <c r="E207" s="119"/>
      <c r="F207" s="120"/>
      <c r="G207" s="64">
        <f>G74+G89+G117+G143+G162+G181+G206</f>
        <v>0</v>
      </c>
      <c r="H207" s="64">
        <f t="shared" ref="H207:I207" si="109">H74+H89+H117+H143+H162+H181+H206</f>
        <v>0</v>
      </c>
      <c r="I207" s="64">
        <f t="shared" si="109"/>
        <v>0</v>
      </c>
    </row>
    <row r="208" spans="1:9" ht="15.75" x14ac:dyDescent="0.25">
      <c r="A208" s="115" t="s">
        <v>184</v>
      </c>
      <c r="B208" s="116"/>
      <c r="C208" s="116"/>
      <c r="D208" s="116"/>
      <c r="E208" s="116"/>
      <c r="F208" s="116"/>
      <c r="G208" s="116"/>
      <c r="H208" s="116"/>
      <c r="I208" s="117"/>
    </row>
    <row r="209" spans="1:9" s="32" customFormat="1" ht="15.75" x14ac:dyDescent="0.25">
      <c r="A209" s="17"/>
      <c r="B209" s="18" t="s">
        <v>17</v>
      </c>
      <c r="C209" s="14" t="s">
        <v>16</v>
      </c>
      <c r="D209" s="28">
        <f>D187+D188+D190+D191+D40+D41+D189</f>
        <v>405</v>
      </c>
      <c r="E209" s="19">
        <v>0</v>
      </c>
      <c r="F209" s="19">
        <v>0</v>
      </c>
      <c r="G209" s="19">
        <f t="shared" ref="G209:G214" si="110">D209*E209</f>
        <v>0</v>
      </c>
      <c r="H209" s="19">
        <f t="shared" ref="H209:H214" si="111">D209*F209</f>
        <v>0</v>
      </c>
      <c r="I209" s="19">
        <f t="shared" ref="I209:I214" si="112">G209+H209</f>
        <v>0</v>
      </c>
    </row>
    <row r="210" spans="1:9" ht="15.75" x14ac:dyDescent="0.25">
      <c r="A210" s="17"/>
      <c r="B210" s="18" t="s">
        <v>172</v>
      </c>
      <c r="C210" s="17" t="s">
        <v>0</v>
      </c>
      <c r="D210" s="28">
        <v>8</v>
      </c>
      <c r="E210" s="19">
        <v>0</v>
      </c>
      <c r="F210" s="19">
        <v>0</v>
      </c>
      <c r="G210" s="19">
        <f t="shared" si="110"/>
        <v>0</v>
      </c>
      <c r="H210" s="19">
        <f t="shared" si="111"/>
        <v>0</v>
      </c>
      <c r="I210" s="19">
        <f t="shared" si="112"/>
        <v>0</v>
      </c>
    </row>
    <row r="211" spans="1:9" ht="15.75" x14ac:dyDescent="0.25">
      <c r="A211" s="17"/>
      <c r="B211" s="18" t="s">
        <v>22</v>
      </c>
      <c r="C211" s="17" t="s">
        <v>0</v>
      </c>
      <c r="D211" s="28">
        <v>1</v>
      </c>
      <c r="E211" s="19">
        <v>0</v>
      </c>
      <c r="F211" s="19">
        <v>0</v>
      </c>
      <c r="G211" s="19">
        <f t="shared" si="110"/>
        <v>0</v>
      </c>
      <c r="H211" s="19">
        <f t="shared" si="111"/>
        <v>0</v>
      </c>
      <c r="I211" s="19">
        <f t="shared" si="112"/>
        <v>0</v>
      </c>
    </row>
    <row r="212" spans="1:9" ht="15.75" x14ac:dyDescent="0.25">
      <c r="A212" s="17"/>
      <c r="B212" s="18" t="s">
        <v>25</v>
      </c>
      <c r="C212" s="17" t="s">
        <v>0</v>
      </c>
      <c r="D212" s="28">
        <v>2</v>
      </c>
      <c r="E212" s="19">
        <v>0</v>
      </c>
      <c r="F212" s="19">
        <v>0</v>
      </c>
      <c r="G212" s="19">
        <f t="shared" si="110"/>
        <v>0</v>
      </c>
      <c r="H212" s="19">
        <f t="shared" si="111"/>
        <v>0</v>
      </c>
      <c r="I212" s="19">
        <f t="shared" si="112"/>
        <v>0</v>
      </c>
    </row>
    <row r="213" spans="1:9" ht="47.25" x14ac:dyDescent="0.25">
      <c r="A213" s="17"/>
      <c r="B213" s="18" t="s">
        <v>18</v>
      </c>
      <c r="C213" s="17" t="s">
        <v>0</v>
      </c>
      <c r="D213" s="28">
        <v>1</v>
      </c>
      <c r="E213" s="19">
        <v>0</v>
      </c>
      <c r="F213" s="19">
        <v>0</v>
      </c>
      <c r="G213" s="19">
        <f t="shared" si="110"/>
        <v>0</v>
      </c>
      <c r="H213" s="19">
        <f t="shared" si="111"/>
        <v>0</v>
      </c>
      <c r="I213" s="19">
        <f t="shared" si="112"/>
        <v>0</v>
      </c>
    </row>
    <row r="214" spans="1:9" ht="15.75" x14ac:dyDescent="0.25">
      <c r="A214" s="17"/>
      <c r="B214" s="18" t="s">
        <v>173</v>
      </c>
      <c r="C214" s="17" t="s">
        <v>0</v>
      </c>
      <c r="D214" s="28">
        <v>1</v>
      </c>
      <c r="E214" s="19">
        <v>0</v>
      </c>
      <c r="F214" s="19">
        <v>0</v>
      </c>
      <c r="G214" s="19">
        <f t="shared" si="110"/>
        <v>0</v>
      </c>
      <c r="H214" s="19">
        <f t="shared" si="111"/>
        <v>0</v>
      </c>
      <c r="I214" s="19">
        <f t="shared" si="112"/>
        <v>0</v>
      </c>
    </row>
    <row r="215" spans="1:9" ht="15.75" x14ac:dyDescent="0.25">
      <c r="A215" s="15"/>
      <c r="B215" s="26" t="s">
        <v>185</v>
      </c>
      <c r="C215" s="24"/>
      <c r="D215" s="24"/>
      <c r="E215" s="25"/>
      <c r="F215" s="25" t="s">
        <v>14</v>
      </c>
      <c r="G215" s="27">
        <f>SUM(G209:G214)</f>
        <v>0</v>
      </c>
      <c r="H215" s="27">
        <f t="shared" ref="H215:I215" si="113">SUM(H209:H214)</f>
        <v>0</v>
      </c>
      <c r="I215" s="27">
        <f t="shared" si="113"/>
        <v>0</v>
      </c>
    </row>
    <row r="216" spans="1:9" ht="15.75" x14ac:dyDescent="0.25">
      <c r="A216" s="115" t="s">
        <v>186</v>
      </c>
      <c r="B216" s="116"/>
      <c r="C216" s="116"/>
      <c r="D216" s="116"/>
      <c r="E216" s="116"/>
      <c r="F216" s="116"/>
      <c r="G216" s="116"/>
      <c r="H216" s="116"/>
      <c r="I216" s="117"/>
    </row>
    <row r="217" spans="1:9" ht="15.75" x14ac:dyDescent="0.25">
      <c r="A217" s="15"/>
      <c r="B217" s="26"/>
      <c r="C217" s="24"/>
      <c r="D217" s="24"/>
      <c r="E217" s="25"/>
      <c r="F217" s="25"/>
      <c r="G217" s="27"/>
      <c r="H217" s="27"/>
      <c r="I217" s="27"/>
    </row>
    <row r="218" spans="1:9" ht="15.75" x14ac:dyDescent="0.25">
      <c r="A218" s="15"/>
      <c r="B218" s="26"/>
      <c r="C218" s="24"/>
      <c r="D218" s="24"/>
      <c r="E218" s="25"/>
      <c r="F218" s="25"/>
      <c r="G218" s="27"/>
      <c r="H218" s="27"/>
      <c r="I218" s="27"/>
    </row>
    <row r="219" spans="1:9" ht="15.75" x14ac:dyDescent="0.25">
      <c r="A219" s="15"/>
      <c r="B219" s="26"/>
      <c r="C219" s="24"/>
      <c r="D219" s="24"/>
      <c r="E219" s="25"/>
      <c r="F219" s="25"/>
      <c r="G219" s="27"/>
      <c r="H219" s="27"/>
      <c r="I219" s="27"/>
    </row>
    <row r="220" spans="1:9" ht="15.75" x14ac:dyDescent="0.25">
      <c r="A220" s="15"/>
      <c r="B220" s="26"/>
      <c r="C220" s="24"/>
      <c r="D220" s="24"/>
      <c r="E220" s="25"/>
      <c r="F220" s="25"/>
      <c r="G220" s="27"/>
      <c r="H220" s="27"/>
      <c r="I220" s="27"/>
    </row>
    <row r="221" spans="1:9" ht="15.75" x14ac:dyDescent="0.25">
      <c r="A221" s="15"/>
      <c r="B221" s="26"/>
      <c r="C221" s="24"/>
      <c r="D221" s="24"/>
      <c r="E221" s="25"/>
      <c r="F221" s="25"/>
      <c r="G221" s="27"/>
      <c r="H221" s="27"/>
      <c r="I221" s="27"/>
    </row>
    <row r="222" spans="1:9" ht="15.75" x14ac:dyDescent="0.25">
      <c r="A222" s="15"/>
      <c r="B222" s="26"/>
      <c r="C222" s="24"/>
      <c r="D222" s="24"/>
      <c r="E222" s="25"/>
      <c r="F222" s="25"/>
      <c r="G222" s="27"/>
      <c r="H222" s="27"/>
      <c r="I222" s="27"/>
    </row>
    <row r="223" spans="1:9" ht="15.75" x14ac:dyDescent="0.25">
      <c r="A223" s="18"/>
      <c r="B223" s="34" t="s">
        <v>187</v>
      </c>
      <c r="C223" s="33"/>
      <c r="D223" s="33"/>
      <c r="E223" s="35"/>
      <c r="F223" s="35"/>
      <c r="G223" s="36">
        <f>SUM(G217:G222)</f>
        <v>0</v>
      </c>
      <c r="H223" s="36">
        <f t="shared" ref="H223:I223" si="114">SUM(H217:H222)</f>
        <v>0</v>
      </c>
      <c r="I223" s="36">
        <f t="shared" si="114"/>
        <v>0</v>
      </c>
    </row>
    <row r="224" spans="1:9" ht="15.75" x14ac:dyDescent="0.25">
      <c r="A224" s="50"/>
      <c r="B224" s="67" t="s">
        <v>30</v>
      </c>
      <c r="C224" s="51"/>
      <c r="D224" s="51"/>
      <c r="E224" s="68"/>
      <c r="F224" s="68" t="s">
        <v>14</v>
      </c>
      <c r="G224" s="69">
        <f>G24+G30+G53+G207+G215+G223</f>
        <v>0</v>
      </c>
      <c r="H224" s="69">
        <f t="shared" ref="H224:I224" si="115">H24+H30+H53+H207+H215+H223</f>
        <v>0</v>
      </c>
      <c r="I224" s="69">
        <f t="shared" si="115"/>
        <v>0</v>
      </c>
    </row>
  </sheetData>
  <mergeCells count="24">
    <mergeCell ref="A216:I216"/>
    <mergeCell ref="A90:I90"/>
    <mergeCell ref="A8:I8"/>
    <mergeCell ref="A32:I32"/>
    <mergeCell ref="A36:I36"/>
    <mergeCell ref="B13:I13"/>
    <mergeCell ref="B9:I9"/>
    <mergeCell ref="A11:I11"/>
    <mergeCell ref="A144:I144"/>
    <mergeCell ref="A163:I163"/>
    <mergeCell ref="A182:I182"/>
    <mergeCell ref="A208:I208"/>
    <mergeCell ref="B14:I14"/>
    <mergeCell ref="A17:A18"/>
    <mergeCell ref="B17:B18"/>
    <mergeCell ref="C17:C18"/>
    <mergeCell ref="A118:I118"/>
    <mergeCell ref="A207:F207"/>
    <mergeCell ref="A75:I75"/>
    <mergeCell ref="D17:D18"/>
    <mergeCell ref="E17:F17"/>
    <mergeCell ref="G17:H17"/>
    <mergeCell ref="I17:I18"/>
    <mergeCell ref="A55:I55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K15" sqref="K15"/>
    </sheetView>
  </sheetViews>
  <sheetFormatPr defaultRowHeight="15" x14ac:dyDescent="0.25"/>
  <cols>
    <col min="1" max="1" width="22.85546875" customWidth="1"/>
    <col min="2" max="3" width="13.140625" customWidth="1"/>
    <col min="4" max="4" width="17.7109375" customWidth="1"/>
    <col min="5" max="6" width="18.140625" customWidth="1"/>
    <col min="7" max="7" width="15.140625" customWidth="1"/>
    <col min="8" max="8" width="19.140625" customWidth="1"/>
    <col min="9" max="9" width="19.5703125" customWidth="1"/>
    <col min="10" max="10" width="18.85546875" customWidth="1"/>
    <col min="11" max="11" width="18.5703125" customWidth="1"/>
  </cols>
  <sheetData>
    <row r="1" spans="1:11" x14ac:dyDescent="0.25">
      <c r="A1" s="133"/>
      <c r="B1" s="144" t="s">
        <v>153</v>
      </c>
      <c r="C1" s="138" t="s">
        <v>162</v>
      </c>
      <c r="D1" s="140" t="s">
        <v>156</v>
      </c>
      <c r="E1" s="141"/>
      <c r="F1" s="142"/>
      <c r="G1" s="140" t="s">
        <v>158</v>
      </c>
      <c r="H1" s="141"/>
      <c r="I1" s="143"/>
      <c r="J1" s="135" t="s">
        <v>160</v>
      </c>
      <c r="K1" s="137" t="s">
        <v>161</v>
      </c>
    </row>
    <row r="2" spans="1:11" ht="30" x14ac:dyDescent="0.25">
      <c r="A2" s="134"/>
      <c r="B2" s="145"/>
      <c r="C2" s="139"/>
      <c r="D2" s="97" t="s">
        <v>154</v>
      </c>
      <c r="E2" s="95" t="s">
        <v>155</v>
      </c>
      <c r="F2" s="98" t="s">
        <v>157</v>
      </c>
      <c r="G2" s="97" t="s">
        <v>154</v>
      </c>
      <c r="H2" s="95" t="s">
        <v>155</v>
      </c>
      <c r="I2" s="96" t="s">
        <v>157</v>
      </c>
      <c r="J2" s="136"/>
      <c r="K2" s="137"/>
    </row>
    <row r="3" spans="1:11" x14ac:dyDescent="0.25">
      <c r="A3" s="93" t="s">
        <v>145</v>
      </c>
      <c r="B3" s="96">
        <v>3.4</v>
      </c>
      <c r="C3" s="103">
        <f>0.78+0.3*2</f>
        <v>1.38</v>
      </c>
      <c r="D3" s="99">
        <v>142.24</v>
      </c>
      <c r="E3" s="94">
        <v>144.4</v>
      </c>
      <c r="F3" s="98">
        <f>E3-(D3-0.08-0.1)</f>
        <v>2.3400000000000034</v>
      </c>
      <c r="G3" s="99">
        <v>142.24</v>
      </c>
      <c r="H3" s="94">
        <v>144</v>
      </c>
      <c r="I3" s="98">
        <f>H3-(G3-0.08-0.1)</f>
        <v>1.9399999999999977</v>
      </c>
      <c r="J3" s="100">
        <f>(F3-I3)/2+I3</f>
        <v>2.1400000000000006</v>
      </c>
      <c r="K3" s="101">
        <f>(C3+(C3+1*2))/2*J3*B3</f>
        <v>17.316880000000005</v>
      </c>
    </row>
    <row r="4" spans="1:11" x14ac:dyDescent="0.25">
      <c r="A4" s="93" t="s">
        <v>146</v>
      </c>
      <c r="B4" s="96">
        <v>3.3</v>
      </c>
      <c r="C4" s="103">
        <f t="shared" ref="C4:C11" si="0">0.78+0.3*2</f>
        <v>1.38</v>
      </c>
      <c r="D4" s="99">
        <v>142.24</v>
      </c>
      <c r="E4" s="94">
        <v>144</v>
      </c>
      <c r="F4" s="98">
        <f t="shared" ref="F4:F11" si="1">E4-(D4-0.08-0.1)</f>
        <v>1.9399999999999977</v>
      </c>
      <c r="G4" s="99">
        <v>142.22999999999999</v>
      </c>
      <c r="H4" s="94">
        <v>143.62</v>
      </c>
      <c r="I4" s="98">
        <f t="shared" ref="I4:I11" si="2">H4-(G4-0.08-0.1)</f>
        <v>1.5700000000000216</v>
      </c>
      <c r="J4" s="100">
        <f t="shared" ref="J4:J11" si="3">(F4-I4)/2+I4</f>
        <v>1.7550000000000097</v>
      </c>
      <c r="K4" s="101">
        <f t="shared" ref="K4:K11" si="4">(C4+(C4+1*2))/2*J4*B4</f>
        <v>13.783770000000075</v>
      </c>
    </row>
    <row r="5" spans="1:11" x14ac:dyDescent="0.25">
      <c r="A5" s="93" t="s">
        <v>147</v>
      </c>
      <c r="B5" s="96">
        <v>14.5</v>
      </c>
      <c r="C5" s="103">
        <f t="shared" si="0"/>
        <v>1.38</v>
      </c>
      <c r="D5" s="99">
        <v>142.22999999999999</v>
      </c>
      <c r="E5" s="94">
        <v>143.62</v>
      </c>
      <c r="F5" s="98">
        <f t="shared" si="1"/>
        <v>1.5700000000000216</v>
      </c>
      <c r="G5" s="99">
        <v>142.19999999999999</v>
      </c>
      <c r="H5" s="94">
        <v>143.94999999999999</v>
      </c>
      <c r="I5" s="98">
        <f t="shared" si="2"/>
        <v>1.9300000000000068</v>
      </c>
      <c r="J5" s="100">
        <f t="shared" si="3"/>
        <v>1.7500000000000142</v>
      </c>
      <c r="K5" s="101">
        <f t="shared" si="4"/>
        <v>60.392500000000489</v>
      </c>
    </row>
    <row r="6" spans="1:11" x14ac:dyDescent="0.25">
      <c r="A6" s="93" t="s">
        <v>148</v>
      </c>
      <c r="B6" s="96">
        <v>16</v>
      </c>
      <c r="C6" s="103">
        <f t="shared" si="0"/>
        <v>1.38</v>
      </c>
      <c r="D6" s="99">
        <v>142.19999999999999</v>
      </c>
      <c r="E6" s="94">
        <v>143.94999999999999</v>
      </c>
      <c r="F6" s="98">
        <f t="shared" si="1"/>
        <v>1.9300000000000068</v>
      </c>
      <c r="G6" s="99">
        <v>141.71</v>
      </c>
      <c r="H6" s="94">
        <v>143.02000000000001</v>
      </c>
      <c r="I6" s="98">
        <f t="shared" si="2"/>
        <v>1.4900000000000091</v>
      </c>
      <c r="J6" s="100">
        <f t="shared" si="3"/>
        <v>1.710000000000008</v>
      </c>
      <c r="K6" s="101">
        <f t="shared" si="4"/>
        <v>65.116800000000296</v>
      </c>
    </row>
    <row r="7" spans="1:11" x14ac:dyDescent="0.25">
      <c r="A7" s="93" t="s">
        <v>149</v>
      </c>
      <c r="B7" s="96">
        <v>21</v>
      </c>
      <c r="C7" s="103">
        <f t="shared" si="0"/>
        <v>1.38</v>
      </c>
      <c r="D7" s="99">
        <v>141.71</v>
      </c>
      <c r="E7" s="94">
        <v>143.02000000000001</v>
      </c>
      <c r="F7" s="98">
        <f t="shared" si="1"/>
        <v>1.4900000000000091</v>
      </c>
      <c r="G7" s="99">
        <v>141.41</v>
      </c>
      <c r="H7" s="94">
        <v>143.16999999999999</v>
      </c>
      <c r="I7" s="98">
        <f t="shared" si="2"/>
        <v>1.9399999999999977</v>
      </c>
      <c r="J7" s="100">
        <f t="shared" si="3"/>
        <v>1.7150000000000034</v>
      </c>
      <c r="K7" s="101">
        <f t="shared" si="4"/>
        <v>85.715700000000155</v>
      </c>
    </row>
    <row r="8" spans="1:11" x14ac:dyDescent="0.25">
      <c r="A8" s="93" t="s">
        <v>150</v>
      </c>
      <c r="B8" s="96">
        <v>15.1</v>
      </c>
      <c r="C8" s="103">
        <f t="shared" si="0"/>
        <v>1.38</v>
      </c>
      <c r="D8" s="99">
        <v>141.41</v>
      </c>
      <c r="E8" s="94">
        <v>143.16999999999999</v>
      </c>
      <c r="F8" s="98">
        <f t="shared" si="1"/>
        <v>1.9399999999999977</v>
      </c>
      <c r="G8" s="99">
        <v>141.19</v>
      </c>
      <c r="H8" s="94">
        <v>142.76</v>
      </c>
      <c r="I8" s="98">
        <f t="shared" si="2"/>
        <v>1.75</v>
      </c>
      <c r="J8" s="100">
        <f t="shared" si="3"/>
        <v>1.8449999999999989</v>
      </c>
      <c r="K8" s="101">
        <f t="shared" si="4"/>
        <v>66.305609999999959</v>
      </c>
    </row>
    <row r="9" spans="1:11" x14ac:dyDescent="0.25">
      <c r="A9" s="93" t="s">
        <v>151</v>
      </c>
      <c r="B9" s="96">
        <v>32.200000000000003</v>
      </c>
      <c r="C9" s="103">
        <f t="shared" si="0"/>
        <v>1.38</v>
      </c>
      <c r="D9" s="99">
        <v>141.19</v>
      </c>
      <c r="E9" s="94">
        <v>142.76</v>
      </c>
      <c r="F9" s="98">
        <f t="shared" si="1"/>
        <v>1.75</v>
      </c>
      <c r="G9" s="99">
        <v>141.13</v>
      </c>
      <c r="H9" s="94">
        <v>142.74</v>
      </c>
      <c r="I9" s="98">
        <f t="shared" si="2"/>
        <v>1.7900000000000205</v>
      </c>
      <c r="J9" s="100">
        <f t="shared" si="3"/>
        <v>1.7700000000000102</v>
      </c>
      <c r="K9" s="101">
        <f t="shared" si="4"/>
        <v>135.64572000000078</v>
      </c>
    </row>
    <row r="10" spans="1:11" x14ac:dyDescent="0.25">
      <c r="A10" s="93" t="s">
        <v>152</v>
      </c>
      <c r="B10" s="96">
        <v>6.4</v>
      </c>
      <c r="C10" s="103">
        <f t="shared" si="0"/>
        <v>1.38</v>
      </c>
      <c r="D10" s="99">
        <v>141.13</v>
      </c>
      <c r="E10" s="94">
        <v>142.74</v>
      </c>
      <c r="F10" s="98">
        <f t="shared" si="1"/>
        <v>1.7900000000000205</v>
      </c>
      <c r="G10" s="99">
        <v>141.12</v>
      </c>
      <c r="H10" s="94">
        <v>142.97999999999999</v>
      </c>
      <c r="I10" s="98">
        <f t="shared" si="2"/>
        <v>2.039999999999992</v>
      </c>
      <c r="J10" s="100">
        <f t="shared" si="3"/>
        <v>1.9150000000000063</v>
      </c>
      <c r="K10" s="101">
        <f t="shared" si="4"/>
        <v>29.169280000000096</v>
      </c>
    </row>
    <row r="11" spans="1:11" x14ac:dyDescent="0.25">
      <c r="A11" s="93" t="s">
        <v>159</v>
      </c>
      <c r="B11" s="96">
        <v>6.3</v>
      </c>
      <c r="C11" s="103">
        <f t="shared" si="0"/>
        <v>1.38</v>
      </c>
      <c r="D11" s="99">
        <v>141.12</v>
      </c>
      <c r="E11" s="94">
        <v>142.97999999999999</v>
      </c>
      <c r="F11" s="98">
        <f t="shared" si="1"/>
        <v>2.039999999999992</v>
      </c>
      <c r="G11" s="99">
        <v>141.11000000000001</v>
      </c>
      <c r="H11" s="94">
        <v>143</v>
      </c>
      <c r="I11" s="98">
        <f t="shared" si="2"/>
        <v>2.0699999999999932</v>
      </c>
      <c r="J11" s="100">
        <f t="shared" si="3"/>
        <v>2.0549999999999926</v>
      </c>
      <c r="K11" s="101">
        <f t="shared" si="4"/>
        <v>30.812669999999891</v>
      </c>
    </row>
    <row r="12" spans="1:11" x14ac:dyDescent="0.25">
      <c r="B12" s="92">
        <f>SUM(B3:B11)</f>
        <v>118.2</v>
      </c>
      <c r="C12" s="92"/>
      <c r="K12" s="102">
        <f>SUM(K3:K11)</f>
        <v>504.25893000000173</v>
      </c>
    </row>
    <row r="14" spans="1:11" x14ac:dyDescent="0.25">
      <c r="K14">
        <f>K12/118.2</f>
        <v>4.2661500000000148</v>
      </c>
    </row>
    <row r="15" spans="1:11" x14ac:dyDescent="0.25">
      <c r="D15">
        <f>D3-0.08-0.1</f>
        <v>142.06</v>
      </c>
      <c r="E15">
        <f>D15-E3</f>
        <v>-2.3400000000000034</v>
      </c>
      <c r="K15">
        <f>K14/((1.38+3.38)/2)</f>
        <v>1.7925000000000062</v>
      </c>
    </row>
  </sheetData>
  <mergeCells count="7">
    <mergeCell ref="A1:A2"/>
    <mergeCell ref="J1:J2"/>
    <mergeCell ref="K1:K2"/>
    <mergeCell ref="C1:C2"/>
    <mergeCell ref="D1:F1"/>
    <mergeCell ref="G1:I1"/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Лист1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Вайгель</dc:creator>
  <cp:lastModifiedBy>Петрова Елена</cp:lastModifiedBy>
  <cp:lastPrinted>2026-08-27T08:31:37Z</cp:lastPrinted>
  <dcterms:created xsi:type="dcterms:W3CDTF">2020-06-04T02:28:29Z</dcterms:created>
  <dcterms:modified xsi:type="dcterms:W3CDTF">2026-08-31T07:20:06Z</dcterms:modified>
</cp:coreProperties>
</file>