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Смета" sheetId="14" r:id="rId1"/>
    <sheet name="Расчет грунта (трубы)" sheetId="15" r:id="rId2"/>
    <sheet name="Расчет грунта (колодцы)" sheetId="16" r:id="rId3"/>
  </sheets>
  <definedNames>
    <definedName name="_xlnm.Print_Titles" localSheetId="0">Смета!$17:$18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1" i="14" l="1"/>
  <c r="I91" i="14"/>
  <c r="H76" i="14"/>
  <c r="I76" i="14"/>
  <c r="H90" i="14" l="1"/>
  <c r="I90" i="14"/>
  <c r="G91" i="14"/>
  <c r="G90" i="14"/>
  <c r="H48" i="14" l="1"/>
  <c r="I48" i="14"/>
  <c r="H75" i="14"/>
  <c r="I75" i="14"/>
  <c r="H62" i="14"/>
  <c r="I62" i="14"/>
  <c r="H56" i="14"/>
  <c r="I56" i="14"/>
  <c r="H84" i="14"/>
  <c r="I84" i="14"/>
  <c r="H30" i="14" l="1"/>
  <c r="I30" i="14"/>
  <c r="H83" i="14"/>
  <c r="I83" i="14" s="1"/>
  <c r="G83" i="14"/>
  <c r="H82" i="14"/>
  <c r="I82" i="14" s="1"/>
  <c r="G82" i="14"/>
  <c r="H81" i="14"/>
  <c r="I81" i="14" s="1"/>
  <c r="G81" i="14"/>
  <c r="H80" i="14"/>
  <c r="I80" i="14" s="1"/>
  <c r="G80" i="14"/>
  <c r="H79" i="14"/>
  <c r="G79" i="14"/>
  <c r="I79" i="14" s="1"/>
  <c r="H78" i="14"/>
  <c r="G78" i="14"/>
  <c r="I78" i="14" s="1"/>
  <c r="H74" i="14"/>
  <c r="G74" i="14"/>
  <c r="I74" i="14" s="1"/>
  <c r="H73" i="14"/>
  <c r="G73" i="14"/>
  <c r="I73" i="14" s="1"/>
  <c r="H72" i="14"/>
  <c r="G72" i="14"/>
  <c r="I72" i="14" s="1"/>
  <c r="I71" i="14"/>
  <c r="H71" i="14"/>
  <c r="G71" i="14"/>
  <c r="H70" i="14"/>
  <c r="G70" i="14"/>
  <c r="I70" i="14" s="1"/>
  <c r="H69" i="14"/>
  <c r="G69" i="14"/>
  <c r="I69" i="14" s="1"/>
  <c r="H68" i="14"/>
  <c r="G68" i="14"/>
  <c r="I68" i="14" s="1"/>
  <c r="H67" i="14"/>
  <c r="G67" i="14"/>
  <c r="I67" i="14" s="1"/>
  <c r="H66" i="14"/>
  <c r="I66" i="14" s="1"/>
  <c r="G66" i="14"/>
  <c r="H65" i="14"/>
  <c r="G65" i="14"/>
  <c r="I65" i="14" s="1"/>
  <c r="H64" i="14"/>
  <c r="G64" i="14"/>
  <c r="I64" i="14" s="1"/>
  <c r="H61" i="14"/>
  <c r="G61" i="14"/>
  <c r="I61" i="14" s="1"/>
  <c r="H60" i="14"/>
  <c r="G60" i="14"/>
  <c r="I60" i="14" s="1"/>
  <c r="H59" i="14"/>
  <c r="G59" i="14"/>
  <c r="I59" i="14" s="1"/>
  <c r="I58" i="14"/>
  <c r="H58" i="14"/>
  <c r="G58" i="14"/>
  <c r="H55" i="14"/>
  <c r="G55" i="14"/>
  <c r="I55" i="14" s="1"/>
  <c r="H54" i="14"/>
  <c r="G54" i="14"/>
  <c r="I54" i="14" s="1"/>
  <c r="H53" i="14"/>
  <c r="G53" i="14"/>
  <c r="I53" i="14" s="1"/>
  <c r="H52" i="14"/>
  <c r="G52" i="14"/>
  <c r="I52" i="14" s="1"/>
  <c r="H51" i="14"/>
  <c r="G51" i="14"/>
  <c r="I51" i="14" s="1"/>
  <c r="H46" i="14"/>
  <c r="G46" i="14"/>
  <c r="I46" i="14" s="1"/>
  <c r="H45" i="14"/>
  <c r="G45" i="14"/>
  <c r="I45" i="14" s="1"/>
  <c r="H44" i="14"/>
  <c r="G44" i="14"/>
  <c r="I44" i="14" s="1"/>
  <c r="H41" i="14"/>
  <c r="G41" i="14"/>
  <c r="I41" i="14" s="1"/>
  <c r="H38" i="14"/>
  <c r="I38" i="14" s="1"/>
  <c r="G38" i="14"/>
  <c r="H37" i="14"/>
  <c r="G37" i="14"/>
  <c r="I37" i="14" s="1"/>
  <c r="H36" i="14"/>
  <c r="G36" i="14"/>
  <c r="I36" i="14" s="1"/>
  <c r="I35" i="14"/>
  <c r="H35" i="14"/>
  <c r="G35" i="14"/>
  <c r="H34" i="14"/>
  <c r="G34" i="14"/>
  <c r="I34" i="14" s="1"/>
  <c r="H29" i="14"/>
  <c r="I29" i="14" s="1"/>
  <c r="G29" i="14"/>
  <c r="H28" i="14"/>
  <c r="G28" i="14"/>
  <c r="I28" i="14" s="1"/>
  <c r="H27" i="14"/>
  <c r="I27" i="14" s="1"/>
  <c r="G27" i="14"/>
  <c r="H26" i="14"/>
  <c r="I26" i="14" s="1"/>
  <c r="G26" i="14"/>
  <c r="H25" i="14"/>
  <c r="G25" i="14"/>
  <c r="I22" i="14"/>
  <c r="H22" i="14"/>
  <c r="G22" i="14"/>
  <c r="D55" i="14"/>
  <c r="D35" i="14"/>
  <c r="D38" i="14"/>
  <c r="D51" i="14"/>
  <c r="D52" i="14" s="1"/>
  <c r="D34" i="14"/>
  <c r="P8" i="15"/>
  <c r="N8" i="15"/>
  <c r="R8" i="15" s="1"/>
  <c r="V8" i="15" s="1"/>
  <c r="O8" i="15"/>
  <c r="Q8" i="15" s="1"/>
  <c r="S8" i="15"/>
  <c r="U8" i="15" s="1"/>
  <c r="T8" i="15"/>
  <c r="L8" i="15"/>
  <c r="I8" i="15"/>
  <c r="J8" i="15"/>
  <c r="G8" i="15"/>
  <c r="E8" i="15"/>
  <c r="B7" i="15"/>
  <c r="R17" i="16"/>
  <c r="R18" i="16"/>
  <c r="R19" i="16"/>
  <c r="R20" i="16"/>
  <c r="R21" i="16"/>
  <c r="R22" i="16"/>
  <c r="R16" i="16"/>
  <c r="R15" i="16"/>
  <c r="R9" i="16"/>
  <c r="W16" i="16"/>
  <c r="W17" i="16"/>
  <c r="W18" i="16"/>
  <c r="W19" i="16"/>
  <c r="W20" i="16"/>
  <c r="W21" i="16"/>
  <c r="W22" i="16"/>
  <c r="W15" i="16"/>
  <c r="W9" i="16"/>
  <c r="V17" i="16"/>
  <c r="V18" i="16"/>
  <c r="V19" i="16"/>
  <c r="V20" i="16"/>
  <c r="V21" i="16"/>
  <c r="V22" i="16"/>
  <c r="V16" i="16"/>
  <c r="V15" i="16"/>
  <c r="V9" i="16"/>
  <c r="G30" i="14" l="1"/>
  <c r="I25" i="14"/>
  <c r="V23" i="16"/>
  <c r="T22" i="16"/>
  <c r="S22" i="16"/>
  <c r="U22" i="16" s="1"/>
  <c r="X22" i="16" s="1"/>
  <c r="U21" i="16"/>
  <c r="X21" i="16" s="1"/>
  <c r="T21" i="16"/>
  <c r="S21" i="16"/>
  <c r="T20" i="16"/>
  <c r="S20" i="16"/>
  <c r="U20" i="16" s="1"/>
  <c r="X20" i="16" s="1"/>
  <c r="T19" i="16"/>
  <c r="S19" i="16"/>
  <c r="U18" i="16"/>
  <c r="X18" i="16" s="1"/>
  <c r="T18" i="16"/>
  <c r="S18" i="16"/>
  <c r="T17" i="16"/>
  <c r="U17" i="16" s="1"/>
  <c r="X17" i="16" s="1"/>
  <c r="S17" i="16"/>
  <c r="T15" i="16"/>
  <c r="U15" i="16" s="1"/>
  <c r="X15" i="16" s="1"/>
  <c r="S15" i="16"/>
  <c r="S9" i="16"/>
  <c r="T9" i="16"/>
  <c r="Q16" i="16"/>
  <c r="Q17" i="16"/>
  <c r="Q18" i="16"/>
  <c r="Q19" i="16"/>
  <c r="Q20" i="16"/>
  <c r="Q21" i="16"/>
  <c r="Q22" i="16"/>
  <c r="Q15" i="16"/>
  <c r="U19" i="16" l="1"/>
  <c r="X19" i="16" s="1"/>
  <c r="U9" i="16"/>
  <c r="X9" i="16" s="1"/>
  <c r="Q9" i="16"/>
  <c r="T16" i="16"/>
  <c r="S16" i="16"/>
  <c r="L8" i="16"/>
  <c r="L6" i="16"/>
  <c r="C22" i="15"/>
  <c r="T21" i="15"/>
  <c r="U21" i="15"/>
  <c r="V21" i="15"/>
  <c r="R21" i="15"/>
  <c r="L20" i="15"/>
  <c r="O20" i="15" s="1"/>
  <c r="G20" i="15"/>
  <c r="J20" i="15" s="1"/>
  <c r="L19" i="15"/>
  <c r="O19" i="15" s="1"/>
  <c r="G19" i="15"/>
  <c r="J19" i="15" s="1"/>
  <c r="E20" i="15"/>
  <c r="E19" i="15"/>
  <c r="T19" i="15" s="1"/>
  <c r="S20" i="15"/>
  <c r="N20" i="15"/>
  <c r="I20" i="15"/>
  <c r="T20" i="15"/>
  <c r="S19" i="15"/>
  <c r="N19" i="15"/>
  <c r="I19" i="15"/>
  <c r="T6" i="15"/>
  <c r="N12" i="15"/>
  <c r="P12" i="15" s="1"/>
  <c r="R12" i="15" s="1"/>
  <c r="I12" i="15"/>
  <c r="N11" i="15"/>
  <c r="P11" i="15" s="1"/>
  <c r="R11" i="15" s="1"/>
  <c r="I11" i="15"/>
  <c r="J11" i="15"/>
  <c r="L10" i="15"/>
  <c r="L7" i="15"/>
  <c r="O7" i="15" s="1"/>
  <c r="Q7" i="15" s="1"/>
  <c r="L9" i="15"/>
  <c r="O9" i="15" s="1"/>
  <c r="Q9" i="15" s="1"/>
  <c r="L11" i="15"/>
  <c r="O11" i="15" s="1"/>
  <c r="Q11" i="15" s="1"/>
  <c r="L12" i="15"/>
  <c r="O12" i="15" s="1"/>
  <c r="L6" i="15"/>
  <c r="O6" i="15" s="1"/>
  <c r="Q6" i="15" s="1"/>
  <c r="L5" i="15"/>
  <c r="O5" i="15" s="1"/>
  <c r="G7" i="15"/>
  <c r="J7" i="15" s="1"/>
  <c r="G9" i="15"/>
  <c r="J9" i="15" s="1"/>
  <c r="G10" i="15"/>
  <c r="J10" i="15" s="1"/>
  <c r="G11" i="15"/>
  <c r="G12" i="15"/>
  <c r="J12" i="15" s="1"/>
  <c r="G6" i="15"/>
  <c r="J6" i="15" s="1"/>
  <c r="G5" i="15"/>
  <c r="J5" i="15" s="1"/>
  <c r="E7" i="15"/>
  <c r="T7" i="15" s="1"/>
  <c r="U7" i="15" s="1"/>
  <c r="E9" i="15"/>
  <c r="E10" i="15"/>
  <c r="E11" i="15"/>
  <c r="E12" i="15"/>
  <c r="T12" i="15" s="1"/>
  <c r="E6" i="15"/>
  <c r="E5" i="15"/>
  <c r="S7" i="15"/>
  <c r="S12" i="15"/>
  <c r="S11" i="15"/>
  <c r="C14" i="15"/>
  <c r="S10" i="15"/>
  <c r="O10" i="15"/>
  <c r="Q10" i="15" s="1"/>
  <c r="N10" i="15"/>
  <c r="P10" i="15" s="1"/>
  <c r="R10" i="15" s="1"/>
  <c r="I10" i="15"/>
  <c r="S9" i="15"/>
  <c r="N9" i="15"/>
  <c r="I9" i="15"/>
  <c r="N7" i="15"/>
  <c r="P7" i="15" s="1"/>
  <c r="I7" i="15"/>
  <c r="S6" i="15"/>
  <c r="N6" i="15"/>
  <c r="I6" i="15"/>
  <c r="S5" i="15"/>
  <c r="N5" i="15"/>
  <c r="P5" i="15" s="1"/>
  <c r="I5" i="15"/>
  <c r="P6" i="15" l="1"/>
  <c r="R6" i="15" s="1"/>
  <c r="U6" i="15"/>
  <c r="R7" i="15"/>
  <c r="V7" i="15" s="1"/>
  <c r="P9" i="15"/>
  <c r="R9" i="15" s="1"/>
  <c r="U13" i="16"/>
  <c r="U16" i="16"/>
  <c r="U23" i="16" s="1"/>
  <c r="P19" i="15"/>
  <c r="R19" i="15" s="1"/>
  <c r="P20" i="15"/>
  <c r="R20" i="15" s="1"/>
  <c r="Q20" i="15"/>
  <c r="Q12" i="15"/>
  <c r="Q19" i="15"/>
  <c r="T5" i="15"/>
  <c r="U5" i="15" s="1"/>
  <c r="T11" i="15"/>
  <c r="U11" i="15" s="1"/>
  <c r="V11" i="15" s="1"/>
  <c r="U12" i="15"/>
  <c r="V12" i="15" s="1"/>
  <c r="T10" i="15"/>
  <c r="U10" i="15" s="1"/>
  <c r="T9" i="15"/>
  <c r="U9" i="15" s="1"/>
  <c r="U19" i="15"/>
  <c r="U20" i="15"/>
  <c r="Q5" i="15"/>
  <c r="R5" i="15"/>
  <c r="V6" i="15" l="1"/>
  <c r="X16" i="16"/>
  <c r="X13" i="16"/>
  <c r="V19" i="15"/>
  <c r="V20" i="15"/>
  <c r="V9" i="15"/>
  <c r="V10" i="15"/>
  <c r="V5" i="15"/>
  <c r="T13" i="15"/>
  <c r="R13" i="15"/>
  <c r="X23" i="16" l="1"/>
  <c r="V13" i="15"/>
  <c r="U13" i="15"/>
  <c r="D72" i="14" l="1"/>
  <c r="D25" i="14"/>
  <c r="H21" i="14" l="1"/>
  <c r="G21" i="14"/>
  <c r="H23" i="14" l="1"/>
  <c r="I21" i="14"/>
  <c r="G23" i="14"/>
  <c r="D58" i="14"/>
  <c r="D41" i="14"/>
  <c r="I23" i="14" l="1"/>
  <c r="H31" i="14"/>
  <c r="G31" i="14"/>
  <c r="D78" i="14"/>
  <c r="I31" i="14" l="1"/>
  <c r="G75" i="14" l="1"/>
  <c r="G62" i="14"/>
  <c r="G56" i="14" l="1"/>
  <c r="G76" i="14" s="1"/>
  <c r="H39" i="14" l="1"/>
  <c r="G39" i="14"/>
  <c r="G84" i="14" l="1"/>
  <c r="G47" i="14"/>
  <c r="H47" i="14"/>
  <c r="H42" i="14"/>
  <c r="I39" i="14"/>
  <c r="G42" i="14"/>
  <c r="G48" i="14" l="1"/>
  <c r="I47" i="14"/>
  <c r="I42" i="14"/>
</calcChain>
</file>

<file path=xl/sharedStrings.xml><?xml version="1.0" encoding="utf-8"?>
<sst xmlns="http://schemas.openxmlformats.org/spreadsheetml/2006/main" count="248" uniqueCount="153">
  <si>
    <t>шт</t>
  </si>
  <si>
    <t>м3</t>
  </si>
  <si>
    <t>СОГЛАСОВАНО:</t>
  </si>
  <si>
    <t>УТВЕРЖДАЮ:</t>
  </si>
  <si>
    <t>(наименование стройки)</t>
  </si>
  <si>
    <t xml:space="preserve"> </t>
  </si>
  <si>
    <t>(наименование работ и затрат, наименование объекта)</t>
  </si>
  <si>
    <t>№</t>
  </si>
  <si>
    <t>Наименование работ</t>
  </si>
  <si>
    <t xml:space="preserve">Ед. </t>
  </si>
  <si>
    <t>Кол-во</t>
  </si>
  <si>
    <t>Всего</t>
  </si>
  <si>
    <t>Работа</t>
  </si>
  <si>
    <t>Материалы</t>
  </si>
  <si>
    <t>1. Земляные работы</t>
  </si>
  <si>
    <t xml:space="preserve">  </t>
  </si>
  <si>
    <t>Директор</t>
  </si>
  <si>
    <t>м.п</t>
  </si>
  <si>
    <t>Устройство лотка в колодце</t>
  </si>
  <si>
    <t xml:space="preserve">Промывка трубопровода </t>
  </si>
  <si>
    <t>Вынос в натуру наружных сетей и контрольно-исполнительная съемка (Услуги геодезистов и сдача исполнительной съемки в Геофонд)</t>
  </si>
  <si>
    <t xml:space="preserve">Разработка грунта с перемещением механизмами </t>
  </si>
  <si>
    <t xml:space="preserve">Врезка в существующую сеть (Пробивка отверстий в существующей сети, заделка проходных гильз) </t>
  </si>
  <si>
    <t xml:space="preserve">                     2026 г.</t>
  </si>
  <si>
    <t xml:space="preserve">                                  2026 г.</t>
  </si>
  <si>
    <t>Устройство гильзы колодцах (Муфта для прохода в Ж/б)</t>
  </si>
  <si>
    <t>Разработка ППР</t>
  </si>
  <si>
    <t>Устройство песчанного основания</t>
  </si>
  <si>
    <r>
      <t xml:space="preserve">Монтаж опорно центрирующего кольца ОНК для труб </t>
    </r>
    <r>
      <rPr>
        <sz val="12"/>
        <rFont val="Calibri"/>
        <family val="2"/>
        <charset val="204"/>
      </rPr>
      <t>ø</t>
    </r>
    <r>
      <rPr>
        <sz val="12"/>
        <rFont val="Times New Roman"/>
        <family val="1"/>
        <charset val="204"/>
      </rPr>
      <t xml:space="preserve">315 мм в футляре </t>
    </r>
    <r>
      <rPr>
        <sz val="12"/>
        <rFont val="Calibri"/>
        <family val="2"/>
        <charset val="204"/>
      </rPr>
      <t>ø</t>
    </r>
    <r>
      <rPr>
        <sz val="12"/>
        <rFont val="Times New Roman"/>
        <family val="1"/>
        <charset val="204"/>
      </rPr>
      <t>530</t>
    </r>
  </si>
  <si>
    <t>на</t>
  </si>
  <si>
    <t xml:space="preserve">Вывоз грунта в отвал </t>
  </si>
  <si>
    <t>Согласование отключений на время производства работ</t>
  </si>
  <si>
    <r>
      <t xml:space="preserve">_______________________________________/ </t>
    </r>
    <r>
      <rPr>
        <u/>
        <sz val="11"/>
        <rFont val="Times New Roman"/>
        <family val="1"/>
        <charset val="204"/>
      </rPr>
      <t xml:space="preserve">              </t>
    </r>
    <r>
      <rPr>
        <sz val="11"/>
        <rFont val="Times New Roman"/>
        <family val="1"/>
        <charset val="204"/>
      </rPr>
      <t xml:space="preserve"> /</t>
    </r>
  </si>
  <si>
    <t>По доверенности</t>
  </si>
  <si>
    <t>____________________________/А.Л. Мерзликин/</t>
  </si>
  <si>
    <t>Локальный сметный расчет №1</t>
  </si>
  <si>
    <t>Итого: Монтаж колодцев</t>
  </si>
  <si>
    <t>Итого: Укладка трубопроводов</t>
  </si>
  <si>
    <t>Итого: Земляные работы</t>
  </si>
  <si>
    <t>ВСЕГО:</t>
  </si>
  <si>
    <t>вынос сетей канализации из зоны строительства</t>
  </si>
  <si>
    <t>Стоимость единицы, руб</t>
  </si>
  <si>
    <t>Общая стоимость, руб</t>
  </si>
  <si>
    <t>Монтаж гофрированной полимерной трубы с раструбом и уплотнительным кольцом КОРСИС SN8 DN/OD160</t>
  </si>
  <si>
    <t>Монтаж колодца КК1вр. ⌀1000 мм (полный комплекс работ с гидроизоляцией, установкой лестницы и люка)</t>
  </si>
  <si>
    <t>Устройство гильзы в колодцах (Муфта для прохода в Ж/б)</t>
  </si>
  <si>
    <t>Раздел №1 Демонтаж сети канализации</t>
  </si>
  <si>
    <t>2. Демонтаж</t>
  </si>
  <si>
    <r>
      <t xml:space="preserve">Демонтаж самотечной сети канализации </t>
    </r>
    <r>
      <rPr>
        <sz val="12"/>
        <rFont val="Calibri"/>
        <family val="2"/>
        <charset val="204"/>
      </rPr>
      <t>ø</t>
    </r>
    <r>
      <rPr>
        <sz val="12"/>
        <rFont val="Times New Roman"/>
        <family val="1"/>
        <charset val="204"/>
      </rPr>
      <t>100-160мм</t>
    </r>
  </si>
  <si>
    <r>
      <t xml:space="preserve">Демонтаж самотечной сети канализации </t>
    </r>
    <r>
      <rPr>
        <sz val="12"/>
        <rFont val="Calibri"/>
        <family val="2"/>
        <charset val="204"/>
      </rPr>
      <t>ø</t>
    </r>
    <r>
      <rPr>
        <sz val="12"/>
        <rFont val="Times New Roman"/>
        <family val="1"/>
        <charset val="204"/>
      </rPr>
      <t>250мм</t>
    </r>
  </si>
  <si>
    <t>Демонтаж канализационных колодцев диаметром 1000-1500мм Н=2,3-3,9м</t>
  </si>
  <si>
    <t>компл.</t>
  </si>
  <si>
    <t>Итого: Демонтаж</t>
  </si>
  <si>
    <t>Устройство песчанного основания t=150 мм</t>
  </si>
  <si>
    <t>Обратная засыпка песком на 30 см над верхом образующей трубы</t>
  </si>
  <si>
    <t>Обратная засыпка грунтом</t>
  </si>
  <si>
    <t>Монтаж колодца КК1 ⌀1500 мм (полный комплекс работ с бетонной подготовкой t=100 мм, гидроизоляцией, установкой лестницы и люка)</t>
  </si>
  <si>
    <t>Монтаж колодца КК2 ⌀1500 мм (полный комплекс работ с бетонной подготовкой t=100 мм, гидроизоляцией, установкой лестницы и люка)</t>
  </si>
  <si>
    <t>Монтаж колодца КК3 ⌀1500 мм (полный комплекс работ с бетонной подготовкой t=100 мм, гидроизоляцией, установкой лестницы и люка)</t>
  </si>
  <si>
    <t>Монтаж колодца КК4 ⌀1500 мм (полный комплекс работ с бетонной подготовкой t=100 мм, гидроизоляцией, установкой лестницы и люка)</t>
  </si>
  <si>
    <t>Монтаж колодца КК5 ⌀1500 мм (полный комплекс работ с бетонной подготовкой t=100 мм, гидроизоляцией, установкой лестницы и люка)</t>
  </si>
  <si>
    <t>Монтаж колодца КК6 ⌀1000 мм (полный комплекс работ с бетонной подготовкой t=100 мм, гидроизоляцией, установкой лестницы и люка)</t>
  </si>
  <si>
    <t>Монтаж колодца КК7 ⌀1000 мм (полный комплекс работ с бетонной подготовкой t=100 мм, гидроизоляцией, установкой лестницы и люка)</t>
  </si>
  <si>
    <t>Монтаж колодца КК8 ⌀1000 мм (полный комплекс работ с бетонной подготовкой t=100 мм, гидроизоляцией, установкой лестницы и люка)</t>
  </si>
  <si>
    <t>Демонтаж канализационных колодцев диаметром 1500мм Н=3-3,5м</t>
  </si>
  <si>
    <r>
      <t>Монтаж стального футляра Ø530</t>
    </r>
    <r>
      <rPr>
        <sz val="12"/>
        <rFont val="Calibri"/>
        <family val="2"/>
        <charset val="204"/>
      </rPr>
      <t>×</t>
    </r>
    <r>
      <rPr>
        <sz val="12"/>
        <rFont val="Times New Roman"/>
        <family val="1"/>
        <charset val="204"/>
      </rPr>
      <t>8 (с внутренним и наружным защитным покрытием) открытый способом</t>
    </r>
  </si>
  <si>
    <t>Монтаж герметизирующей манжеты для Ø250/Ø530</t>
  </si>
  <si>
    <t>Коэффициент заложения</t>
  </si>
  <si>
    <t>Участок</t>
  </si>
  <si>
    <t>Длина, м</t>
  </si>
  <si>
    <t>Труба</t>
  </si>
  <si>
    <t>Наружный диаметр трубы</t>
  </si>
  <si>
    <t>Ширина дна траншеи</t>
  </si>
  <si>
    <t>Начало участка</t>
  </si>
  <si>
    <t>Конец участка</t>
  </si>
  <si>
    <t>Средняя глубина траншеи (при разработке), м</t>
  </si>
  <si>
    <t>Средняя глубина траншеи (при обратной засыпки), м</t>
  </si>
  <si>
    <t>Объем разработки грунта, м3</t>
  </si>
  <si>
    <t>Объем трубы</t>
  </si>
  <si>
    <t>Объем песчанного основания</t>
  </si>
  <si>
    <t>Натуральная отметка земли</t>
  </si>
  <si>
    <t>Проектная отметка земли</t>
  </si>
  <si>
    <t>Проектная отметка низа или лотка трубы</t>
  </si>
  <si>
    <t>Высота разработки</t>
  </si>
  <si>
    <t>Высота обратной засыпки</t>
  </si>
  <si>
    <t>Монтаж гофрированной полимерной трубы с раструбом и уплотнительным кольцом КОРСИС SN8 DN/OD250</t>
  </si>
  <si>
    <t>КОРСИС OD250</t>
  </si>
  <si>
    <t>КК1-КК2</t>
  </si>
  <si>
    <t>КК2-КК3</t>
  </si>
  <si>
    <t>КК3-КК4</t>
  </si>
  <si>
    <t>КК4-КК5</t>
  </si>
  <si>
    <t>КК5-КК6</t>
  </si>
  <si>
    <t>КК6-КК7</t>
  </si>
  <si>
    <t>КК7-КК8</t>
  </si>
  <si>
    <t>Объем обратной засыпки песком на 30 см выше трубы</t>
  </si>
  <si>
    <t>Объем обратной засыпки грунтом, м3</t>
  </si>
  <si>
    <t>КОРСИС OD160</t>
  </si>
  <si>
    <t>Кксущ.1-КК1вр</t>
  </si>
  <si>
    <t>КК1вр-ККсущ2</t>
  </si>
  <si>
    <t>Минимальное расстояние в свету между поверхностью откоса котлована и боковой поверхностью возводимого сооружения</t>
  </si>
  <si>
    <t>№ колодца</t>
  </si>
  <si>
    <t>Диаметр колодца, м</t>
  </si>
  <si>
    <t>ПН10
(0,18 м3)</t>
  </si>
  <si>
    <t>ПН-15
(0,38 м3)</t>
  </si>
  <si>
    <t>КС 10.3
(0,08 м3)</t>
  </si>
  <si>
    <t>КС 10.6
(0,16 м3)</t>
  </si>
  <si>
    <t>КС 10.9
(0,24 м3)</t>
  </si>
  <si>
    <t>КС 15.6
(0,265 м3)</t>
  </si>
  <si>
    <t>КС 15.9
(0,4 м3)</t>
  </si>
  <si>
    <t>ПП 10-2
(0,1 м3)</t>
  </si>
  <si>
    <t>1ПП 15-2
(0,27 м3)</t>
  </si>
  <si>
    <t>КЦП3-10
(0,09 м3)</t>
  </si>
  <si>
    <t>КС 7.3
(0,05 м3)</t>
  </si>
  <si>
    <t>КС 7.6
(0,098 м3)</t>
  </si>
  <si>
    <t>Объем ж/б изделий, м3</t>
  </si>
  <si>
    <t>Глубина колодца, м</t>
  </si>
  <si>
    <t>Площадь основания котлована</t>
  </si>
  <si>
    <t>Площадь верха котлована, м2</t>
  </si>
  <si>
    <t>Площадь гидроизоляции, м2</t>
  </si>
  <si>
    <t>Объем колодца, м3</t>
  </si>
  <si>
    <t>Объем обратной засыпки, м3</t>
  </si>
  <si>
    <t>Наружный диаметр изделия</t>
  </si>
  <si>
    <t>Высота изделия</t>
  </si>
  <si>
    <t>КО6
(0,02 м3)</t>
  </si>
  <si>
    <t>КС 7.9
(0,015 м3)</t>
  </si>
  <si>
    <t>КК1вр</t>
  </si>
  <si>
    <t>КК1</t>
  </si>
  <si>
    <t>КК2</t>
  </si>
  <si>
    <t>КК3</t>
  </si>
  <si>
    <t>КК4</t>
  </si>
  <si>
    <t>КК5</t>
  </si>
  <si>
    <t>КК6</t>
  </si>
  <si>
    <t>КК7</t>
  </si>
  <si>
    <t>КК8</t>
  </si>
  <si>
    <t xml:space="preserve">Заделка и герметизация отверстий в стенах колодцев КК1 и КК8 после демонтажа временного участка </t>
  </si>
  <si>
    <t>КОРСИС OD250
в футляре</t>
  </si>
  <si>
    <t>Получение разрешения на ввод в эксплуатацию построенных сетей ливневой канализации от МУП г. Новосибирска "ГОРВОДОКАНАЛ" (получение акта промывки (дезинфекции) трубопровода, акта о проведении гидравлического испытания безнапорного трубопровода на герметичность, заключение теледиагностики, и т.д)</t>
  </si>
  <si>
    <t>Раздел №2 Вынос сетей канализации на участке ККсущ2-ККсущ1</t>
  </si>
  <si>
    <t>Итого по разделу №2 Вынос сетей канализации на участке ККсущ2-ККсущ1</t>
  </si>
  <si>
    <t>Раздел №3 Вынос сетей канализации на участке КК1-КК8</t>
  </si>
  <si>
    <t>3. Земляные работы</t>
  </si>
  <si>
    <t>4. Укладка трубопроводов</t>
  </si>
  <si>
    <t>5. Монтаж колодцев</t>
  </si>
  <si>
    <t>6. Земляные работы</t>
  </si>
  <si>
    <t>7. Укладка трубопроводов</t>
  </si>
  <si>
    <t>8. Монтаж железобетонных конструкций</t>
  </si>
  <si>
    <t>Итого по разделу №3  Вынос сетей канализации на участке КК1-КК8</t>
  </si>
  <si>
    <t>Раздел №4. Прочие работы</t>
  </si>
  <si>
    <t>Итого по разделу №4: Прочие работы</t>
  </si>
  <si>
    <t>Выполнение отглушки трубопровода</t>
  </si>
  <si>
    <t>Итого по разделу №1. Демонтаж сети канализации</t>
  </si>
  <si>
    <t>Многоквартирный многоэтажный жилой дом с объектами обслуживания жилой застройки, автостоянкой и трансформаторными подстанциями по ул. Кирова в Октябрьском районе г. Новосибирска на земельном участке площадью 10 574 (Десять тысяч пятьсот семьдесят четыре) квадратных метра, кадастровый номер: 54:35:074675:300. Адрес: установлено относительно ориентира, расположенного в границах участка. Ориентир здание. Почтовый адрес ориентира: Новосибирская область, г. Новосибирск, ул. Кирова, д.44</t>
  </si>
  <si>
    <t>Раздел №5. Дополнительные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</si>
</sst>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1" x14ac:knownFonts="1"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Arial"/>
      <family val="2"/>
      <charset val="204"/>
    </font>
    <font>
      <i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6">
    <xf numFmtId="0" fontId="0" fillId="0" borderId="0" xfId="0"/>
    <xf numFmtId="0" fontId="0" fillId="0" borderId="0" xfId="0" applyFont="1" applyFill="1" applyAlignment="1">
      <alignment vertical="center" wrapText="1"/>
    </xf>
    <xf numFmtId="2" fontId="0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/>
    <xf numFmtId="0" fontId="5" fillId="0" borderId="0" xfId="0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/>
    </xf>
    <xf numFmtId="0" fontId="8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2" fontId="4" fillId="0" borderId="1" xfId="0" applyNumberFormat="1" applyFont="1" applyFill="1" applyBorder="1" applyAlignment="1">
      <alignment horizontal="center" vertical="center"/>
    </xf>
    <xf numFmtId="0" fontId="0" fillId="3" borderId="0" xfId="0" applyFill="1"/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12" fillId="0" borderId="0" xfId="0" applyFont="1" applyFill="1" applyAlignment="1">
      <alignment vertical="center" wrapText="1"/>
    </xf>
    <xf numFmtId="2" fontId="12" fillId="0" borderId="0" xfId="0" applyNumberFormat="1" applyFont="1" applyFill="1" applyAlignment="1">
      <alignment vertical="center" wrapText="1"/>
    </xf>
    <xf numFmtId="0" fontId="10" fillId="0" borderId="0" xfId="0" applyFont="1" applyAlignment="1">
      <alignment horizontal="left" vertical="top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  <xf numFmtId="0" fontId="15" fillId="0" borderId="0" xfId="0" applyFont="1"/>
    <xf numFmtId="0" fontId="6" fillId="0" borderId="1" xfId="0" applyFont="1" applyFill="1" applyBorder="1" applyAlignment="1">
      <alignment horizontal="left" vertical="center" wrapText="1"/>
    </xf>
    <xf numFmtId="49" fontId="7" fillId="0" borderId="0" xfId="0" applyNumberFormat="1" applyFont="1" applyAlignment="1">
      <alignment vertical="top"/>
    </xf>
    <xf numFmtId="0" fontId="11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5" borderId="9" xfId="0" applyFont="1" applyFill="1" applyBorder="1" applyAlignment="1">
      <alignment vertical="center"/>
    </xf>
    <xf numFmtId="0" fontId="6" fillId="5" borderId="5" xfId="0" applyFont="1" applyFill="1" applyBorder="1" applyAlignment="1">
      <alignment vertical="center" wrapText="1"/>
    </xf>
    <xf numFmtId="0" fontId="6" fillId="5" borderId="5" xfId="0" applyFont="1" applyFill="1" applyBorder="1" applyAlignment="1">
      <alignment horizontal="center" vertical="center" wrapText="1"/>
    </xf>
    <xf numFmtId="4" fontId="6" fillId="5" borderId="5" xfId="0" applyNumberFormat="1" applyFont="1" applyFill="1" applyBorder="1" applyAlignment="1">
      <alignment horizontal="center" vertical="center" wrapText="1"/>
    </xf>
    <xf numFmtId="4" fontId="6" fillId="5" borderId="1" xfId="0" applyNumberFormat="1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vertical="center"/>
    </xf>
    <xf numFmtId="0" fontId="6" fillId="5" borderId="6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Continuous" vertical="center" wrapText="1"/>
    </xf>
    <xf numFmtId="0" fontId="6" fillId="6" borderId="8" xfId="0" applyFont="1" applyFill="1" applyBorder="1" applyAlignment="1">
      <alignment horizontal="centerContinuous" vertical="center" wrapText="1"/>
    </xf>
    <xf numFmtId="0" fontId="6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0" fontId="6" fillId="7" borderId="7" xfId="0" applyFont="1" applyFill="1" applyBorder="1" applyAlignment="1">
      <alignment vertical="center"/>
    </xf>
    <xf numFmtId="0" fontId="6" fillId="7" borderId="6" xfId="0" applyFont="1" applyFill="1" applyBorder="1" applyAlignment="1">
      <alignment vertical="center" wrapText="1"/>
    </xf>
    <xf numFmtId="0" fontId="6" fillId="7" borderId="8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6" fillId="7" borderId="9" xfId="0" applyFont="1" applyFill="1" applyBorder="1" applyAlignment="1">
      <alignment vertical="center"/>
    </xf>
    <xf numFmtId="0" fontId="6" fillId="7" borderId="5" xfId="0" applyFont="1" applyFill="1" applyBorder="1" applyAlignment="1">
      <alignment vertical="center" wrapText="1"/>
    </xf>
    <xf numFmtId="0" fontId="6" fillId="7" borderId="5" xfId="0" applyFont="1" applyFill="1" applyBorder="1" applyAlignment="1">
      <alignment horizontal="center" vertical="center" wrapText="1"/>
    </xf>
    <xf numFmtId="4" fontId="6" fillId="7" borderId="5" xfId="0" applyNumberFormat="1" applyFont="1" applyFill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2" fontId="0" fillId="0" borderId="0" xfId="0" applyNumberFormat="1"/>
    <xf numFmtId="0" fontId="0" fillId="0" borderId="18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2" fontId="0" fillId="0" borderId="30" xfId="0" applyNumberFormat="1" applyBorder="1" applyAlignment="1">
      <alignment horizontal="center" vertical="center"/>
    </xf>
    <xf numFmtId="49" fontId="0" fillId="0" borderId="29" xfId="0" applyNumberFormat="1" applyBorder="1" applyAlignment="1">
      <alignment horizontal="center" vertical="center"/>
    </xf>
    <xf numFmtId="49" fontId="0" fillId="0" borderId="31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Continuous"/>
    </xf>
    <xf numFmtId="2" fontId="18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2" fontId="0" fillId="0" borderId="0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/>
    <xf numFmtId="0" fontId="19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2" fontId="0" fillId="0" borderId="21" xfId="0" applyNumberFormat="1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0" fillId="0" borderId="28" xfId="0" applyNumberFormat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2" fontId="0" fillId="7" borderId="27" xfId="0" applyNumberFormat="1" applyFill="1" applyBorder="1" applyAlignment="1">
      <alignment horizontal="center" vertical="center"/>
    </xf>
    <xf numFmtId="2" fontId="0" fillId="7" borderId="20" xfId="0" applyNumberFormat="1" applyFill="1" applyBorder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2" fontId="0" fillId="7" borderId="14" xfId="0" applyNumberFormat="1" applyFill="1" applyBorder="1" applyAlignment="1">
      <alignment horizontal="center" vertical="center"/>
    </xf>
    <xf numFmtId="2" fontId="0" fillId="0" borderId="15" xfId="0" applyNumberFormat="1" applyFill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2" fontId="0" fillId="0" borderId="33" xfId="0" applyNumberFormat="1" applyBorder="1" applyAlignment="1">
      <alignment horizontal="center" vertical="center"/>
    </xf>
    <xf numFmtId="2" fontId="0" fillId="0" borderId="0" xfId="0" applyNumberFormat="1" applyFill="1" applyBorder="1"/>
    <xf numFmtId="0" fontId="0" fillId="0" borderId="21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0" fillId="8" borderId="10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0" fillId="8" borderId="37" xfId="0" applyFill="1" applyBorder="1" applyAlignment="1">
      <alignment horizontal="center" vertical="center" wrapText="1"/>
    </xf>
    <xf numFmtId="0" fontId="0" fillId="8" borderId="17" xfId="0" applyFill="1" applyBorder="1" applyAlignment="1">
      <alignment horizontal="center" vertical="center" wrapText="1"/>
    </xf>
    <xf numFmtId="0" fontId="0" fillId="8" borderId="25" xfId="0" applyFill="1" applyBorder="1" applyAlignment="1">
      <alignment horizontal="center" vertical="center" wrapText="1"/>
    </xf>
    <xf numFmtId="2" fontId="0" fillId="8" borderId="17" xfId="0" applyNumberForma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 wrapText="1"/>
    </xf>
    <xf numFmtId="2" fontId="0" fillId="0" borderId="28" xfId="0" applyNumberFormat="1" applyFill="1" applyBorder="1" applyAlignment="1">
      <alignment horizontal="center" vertical="center"/>
    </xf>
    <xf numFmtId="2" fontId="0" fillId="0" borderId="21" xfId="0" applyNumberFormat="1" applyFill="1" applyBorder="1" applyAlignment="1">
      <alignment horizontal="center" vertical="center" wrapText="1"/>
    </xf>
    <xf numFmtId="2" fontId="0" fillId="0" borderId="0" xfId="0" applyNumberFormat="1" applyFill="1" applyBorder="1" applyAlignment="1">
      <alignment horizontal="center" vertical="center" wrapText="1"/>
    </xf>
    <xf numFmtId="2" fontId="18" fillId="0" borderId="0" xfId="0" applyNumberFormat="1" applyFont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2" fontId="0" fillId="0" borderId="15" xfId="0" applyNumberFormat="1" applyFill="1" applyBorder="1" applyAlignment="1">
      <alignment horizontal="center" vertical="center" wrapText="1"/>
    </xf>
    <xf numFmtId="2" fontId="0" fillId="0" borderId="16" xfId="0" applyNumberFormat="1" applyFill="1" applyBorder="1" applyAlignment="1">
      <alignment horizontal="center" vertical="center"/>
    </xf>
    <xf numFmtId="4" fontId="0" fillId="0" borderId="0" xfId="0" applyNumberFormat="1"/>
    <xf numFmtId="0" fontId="0" fillId="0" borderId="14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0" xfId="0" applyFill="1"/>
    <xf numFmtId="0" fontId="0" fillId="0" borderId="27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1" xfId="0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2" fontId="0" fillId="0" borderId="38" xfId="0" applyNumberFormat="1" applyFill="1" applyBorder="1" applyAlignment="1">
      <alignment horizontal="center" vertical="center"/>
    </xf>
    <xf numFmtId="2" fontId="0" fillId="0" borderId="39" xfId="0" applyNumberFormat="1" applyFill="1" applyBorder="1" applyAlignment="1">
      <alignment horizontal="center" vertical="center"/>
    </xf>
    <xf numFmtId="2" fontId="0" fillId="0" borderId="40" xfId="0" applyNumberForma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2" fontId="0" fillId="0" borderId="26" xfId="0" applyNumberFormat="1" applyFill="1" applyBorder="1" applyAlignment="1">
      <alignment horizontal="center" vertical="center"/>
    </xf>
    <xf numFmtId="2" fontId="0" fillId="0" borderId="11" xfId="0" applyNumberFormat="1" applyFill="1" applyBorder="1" applyAlignment="1">
      <alignment horizontal="center" vertical="center"/>
    </xf>
    <xf numFmtId="2" fontId="0" fillId="0" borderId="29" xfId="0" applyNumberFormat="1" applyFill="1" applyBorder="1" applyAlignment="1">
      <alignment horizontal="center" vertical="center"/>
    </xf>
    <xf numFmtId="2" fontId="0" fillId="3" borderId="27" xfId="0" applyNumberForma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11" fillId="4" borderId="1" xfId="0" applyFont="1" applyFill="1" applyBorder="1" applyAlignment="1">
      <alignment horizontal="center" vertical="center" wrapText="1"/>
    </xf>
    <xf numFmtId="2" fontId="11" fillId="4" borderId="2" xfId="0" applyNumberFormat="1" applyFont="1" applyFill="1" applyBorder="1" applyAlignment="1">
      <alignment horizontal="center" vertical="center" wrapText="1"/>
    </xf>
    <xf numFmtId="2" fontId="11" fillId="4" borderId="3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6" fillId="6" borderId="6" xfId="0" applyFont="1" applyFill="1" applyBorder="1" applyAlignment="1">
      <alignment horizontal="left" vertical="center" wrapText="1"/>
    </xf>
    <xf numFmtId="0" fontId="6" fillId="6" borderId="8" xfId="0" applyFont="1" applyFill="1" applyBorder="1" applyAlignment="1">
      <alignment horizontal="left" vertical="center" wrapText="1"/>
    </xf>
    <xf numFmtId="2" fontId="0" fillId="0" borderId="15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9" xfId="0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4" xfId="0" applyNumberFormat="1" applyBorder="1" applyAlignment="1">
      <alignment horizontal="center" vertical="center" wrapText="1"/>
    </xf>
    <xf numFmtId="2" fontId="0" fillId="0" borderId="20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8" borderId="36" xfId="0" applyFill="1" applyBorder="1" applyAlignment="1">
      <alignment horizontal="center" vertical="center" wrapText="1"/>
    </xf>
    <xf numFmtId="0" fontId="0" fillId="8" borderId="32" xfId="0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1"/>
  <sheetViews>
    <sheetView tabSelected="1" view="pageBreakPreview" topLeftCell="A72" zoomScale="115" zoomScaleNormal="115" zoomScaleSheetLayoutView="115" workbookViewId="0">
      <selection activeCell="I91" sqref="I91"/>
    </sheetView>
  </sheetViews>
  <sheetFormatPr defaultRowHeight="15" x14ac:dyDescent="0.25"/>
  <cols>
    <col min="1" max="1" width="5.85546875" customWidth="1"/>
    <col min="2" max="2" width="64.42578125" customWidth="1"/>
    <col min="3" max="3" width="10.140625" customWidth="1"/>
    <col min="4" max="4" width="13" customWidth="1"/>
    <col min="5" max="5" width="14" customWidth="1"/>
    <col min="6" max="6" width="13.5703125" customWidth="1"/>
    <col min="7" max="7" width="18.140625" customWidth="1"/>
    <col min="8" max="8" width="18.42578125" customWidth="1"/>
    <col min="9" max="9" width="20.85546875" customWidth="1"/>
  </cols>
  <sheetData>
    <row r="1" spans="1:9" x14ac:dyDescent="0.25">
      <c r="A1" s="30"/>
      <c r="B1" s="30"/>
      <c r="C1" s="30"/>
      <c r="D1" s="30"/>
      <c r="E1" s="30"/>
      <c r="F1" s="30"/>
      <c r="G1" s="30"/>
      <c r="H1" s="30"/>
      <c r="I1" s="30"/>
    </row>
    <row r="2" spans="1:9" x14ac:dyDescent="0.25">
      <c r="A2" s="37" t="s">
        <v>2</v>
      </c>
      <c r="B2" s="38"/>
      <c r="C2" s="39"/>
      <c r="D2" s="40"/>
      <c r="E2" s="40"/>
      <c r="F2" s="40"/>
      <c r="G2" s="42" t="s">
        <v>3</v>
      </c>
      <c r="I2" s="41"/>
    </row>
    <row r="3" spans="1:9" x14ac:dyDescent="0.25">
      <c r="A3" s="38" t="s">
        <v>16</v>
      </c>
      <c r="B3" s="38"/>
      <c r="C3" s="39"/>
      <c r="D3" s="40"/>
      <c r="E3" s="40"/>
      <c r="F3" s="40"/>
      <c r="G3" s="38" t="s">
        <v>33</v>
      </c>
      <c r="I3" s="41"/>
    </row>
    <row r="4" spans="1:9" x14ac:dyDescent="0.25">
      <c r="A4" s="38"/>
      <c r="B4" s="38"/>
      <c r="C4" s="39"/>
      <c r="D4" s="40"/>
      <c r="E4" s="40"/>
      <c r="F4" s="40"/>
      <c r="G4" s="41"/>
      <c r="H4" s="38"/>
      <c r="I4" s="41"/>
    </row>
    <row r="5" spans="1:9" x14ac:dyDescent="0.25">
      <c r="A5" s="38" t="s">
        <v>32</v>
      </c>
      <c r="B5" s="38"/>
      <c r="C5" s="39"/>
      <c r="D5" s="40"/>
      <c r="E5" s="40"/>
      <c r="F5" s="40"/>
      <c r="G5" s="52" t="s">
        <v>34</v>
      </c>
      <c r="H5" s="52"/>
      <c r="I5" s="41"/>
    </row>
    <row r="6" spans="1:9" x14ac:dyDescent="0.25">
      <c r="A6" s="38" t="s">
        <v>23</v>
      </c>
      <c r="B6" s="38"/>
      <c r="C6" s="39"/>
      <c r="D6" s="40"/>
      <c r="E6" s="40"/>
      <c r="F6" s="40"/>
      <c r="G6" s="38" t="s">
        <v>24</v>
      </c>
      <c r="I6" s="41"/>
    </row>
    <row r="7" spans="1:9" x14ac:dyDescent="0.25">
      <c r="A7" s="3"/>
      <c r="B7" s="1"/>
      <c r="C7" s="4"/>
      <c r="D7" s="1"/>
      <c r="E7" s="1"/>
      <c r="F7" s="1"/>
      <c r="G7" s="2"/>
      <c r="H7" s="1"/>
      <c r="I7" s="2"/>
    </row>
    <row r="8" spans="1:9" ht="60.75" customHeight="1" x14ac:dyDescent="0.25">
      <c r="A8" s="186" t="s">
        <v>151</v>
      </c>
      <c r="B8" s="186"/>
      <c r="C8" s="186"/>
      <c r="D8" s="186"/>
      <c r="E8" s="186"/>
      <c r="F8" s="186"/>
      <c r="G8" s="186"/>
      <c r="H8" s="186"/>
      <c r="I8" s="186"/>
    </row>
    <row r="9" spans="1:9" x14ac:dyDescent="0.25">
      <c r="A9" s="5"/>
      <c r="B9" s="192" t="s">
        <v>4</v>
      </c>
      <c r="C9" s="192"/>
      <c r="D9" s="192"/>
      <c r="E9" s="192"/>
      <c r="F9" s="192"/>
      <c r="G9" s="192"/>
      <c r="H9" s="192"/>
      <c r="I9" s="192"/>
    </row>
    <row r="10" spans="1:9" x14ac:dyDescent="0.25">
      <c r="A10" s="5"/>
      <c r="B10" s="6"/>
      <c r="C10" s="7"/>
      <c r="D10" s="8"/>
      <c r="E10" s="9"/>
      <c r="F10" s="10"/>
      <c r="G10" s="10"/>
      <c r="H10" s="10"/>
      <c r="I10" s="10"/>
    </row>
    <row r="11" spans="1:9" ht="15.75" x14ac:dyDescent="0.25">
      <c r="A11" s="193" t="s">
        <v>35</v>
      </c>
      <c r="B11" s="193"/>
      <c r="C11" s="193"/>
      <c r="D11" s="193"/>
      <c r="E11" s="193"/>
      <c r="F11" s="193"/>
      <c r="G11" s="193"/>
      <c r="H11" s="193"/>
      <c r="I11" s="193"/>
    </row>
    <row r="12" spans="1:9" x14ac:dyDescent="0.25">
      <c r="A12" s="5"/>
      <c r="B12" s="6"/>
      <c r="C12" s="7"/>
      <c r="D12" s="8"/>
      <c r="E12" s="9"/>
      <c r="F12" s="10"/>
      <c r="G12" s="10" t="s">
        <v>5</v>
      </c>
      <c r="H12" s="10"/>
      <c r="I12" s="10"/>
    </row>
    <row r="13" spans="1:9" s="50" customFormat="1" ht="12.75" x14ac:dyDescent="0.2">
      <c r="A13" s="49" t="s">
        <v>29</v>
      </c>
      <c r="B13" s="191" t="s">
        <v>40</v>
      </c>
      <c r="C13" s="191"/>
      <c r="D13" s="191"/>
      <c r="E13" s="191"/>
      <c r="F13" s="191"/>
      <c r="G13" s="191"/>
      <c r="H13" s="191"/>
      <c r="I13" s="191"/>
    </row>
    <row r="14" spans="1:9" x14ac:dyDescent="0.25">
      <c r="A14" s="5"/>
      <c r="B14" s="194" t="s">
        <v>6</v>
      </c>
      <c r="C14" s="194"/>
      <c r="D14" s="194"/>
      <c r="E14" s="194"/>
      <c r="F14" s="194"/>
      <c r="G14" s="194"/>
      <c r="H14" s="194"/>
      <c r="I14" s="194"/>
    </row>
    <row r="15" spans="1:9" x14ac:dyDescent="0.25">
      <c r="A15" s="11"/>
      <c r="B15" s="12"/>
      <c r="C15" s="7"/>
      <c r="D15" s="8"/>
      <c r="E15" s="9"/>
      <c r="F15" s="10"/>
      <c r="G15" s="10"/>
      <c r="H15" s="10"/>
      <c r="I15" s="10"/>
    </row>
    <row r="16" spans="1:9" x14ac:dyDescent="0.25">
      <c r="A16" s="13"/>
      <c r="B16" s="13"/>
      <c r="C16" s="13"/>
      <c r="D16" s="13"/>
      <c r="E16" s="13"/>
      <c r="F16" s="13"/>
      <c r="G16" s="13"/>
      <c r="H16" s="13"/>
      <c r="I16" s="13"/>
    </row>
    <row r="17" spans="1:9" x14ac:dyDescent="0.25">
      <c r="A17" s="195" t="s">
        <v>7</v>
      </c>
      <c r="B17" s="195" t="s">
        <v>8</v>
      </c>
      <c r="C17" s="195" t="s">
        <v>9</v>
      </c>
      <c r="D17" s="195" t="s">
        <v>10</v>
      </c>
      <c r="E17" s="195" t="s">
        <v>41</v>
      </c>
      <c r="F17" s="195"/>
      <c r="G17" s="195" t="s">
        <v>42</v>
      </c>
      <c r="H17" s="195"/>
      <c r="I17" s="196" t="s">
        <v>11</v>
      </c>
    </row>
    <row r="18" spans="1:9" x14ac:dyDescent="0.25">
      <c r="A18" s="195"/>
      <c r="B18" s="195"/>
      <c r="C18" s="195"/>
      <c r="D18" s="195"/>
      <c r="E18" s="53" t="s">
        <v>13</v>
      </c>
      <c r="F18" s="47" t="s">
        <v>12</v>
      </c>
      <c r="G18" s="47" t="s">
        <v>13</v>
      </c>
      <c r="H18" s="47" t="s">
        <v>12</v>
      </c>
      <c r="I18" s="197"/>
    </row>
    <row r="19" spans="1:9" ht="15.75" x14ac:dyDescent="0.25">
      <c r="A19" s="75" t="s">
        <v>46</v>
      </c>
      <c r="B19" s="76"/>
      <c r="C19" s="76"/>
      <c r="D19" s="76"/>
      <c r="E19" s="76"/>
      <c r="F19" s="76"/>
      <c r="G19" s="76"/>
      <c r="H19" s="76"/>
      <c r="I19" s="77"/>
    </row>
    <row r="20" spans="1:9" ht="15.75" x14ac:dyDescent="0.25">
      <c r="A20" s="187" t="s">
        <v>14</v>
      </c>
      <c r="B20" s="187"/>
      <c r="C20" s="187"/>
      <c r="D20" s="187"/>
      <c r="E20" s="187"/>
      <c r="F20" s="187"/>
      <c r="G20" s="187"/>
      <c r="H20" s="187"/>
      <c r="I20" s="187"/>
    </row>
    <row r="21" spans="1:9" ht="15.75" x14ac:dyDescent="0.25">
      <c r="A21" s="17"/>
      <c r="B21" s="18" t="s">
        <v>21</v>
      </c>
      <c r="C21" s="17" t="s">
        <v>1</v>
      </c>
      <c r="D21" s="16">
        <v>800</v>
      </c>
      <c r="E21" s="19">
        <v>0</v>
      </c>
      <c r="F21" s="19">
        <v>0</v>
      </c>
      <c r="G21" s="19">
        <f t="shared" ref="G21" si="0">D21*E21</f>
        <v>0</v>
      </c>
      <c r="H21" s="19">
        <f t="shared" ref="H21" si="1">D21*F21</f>
        <v>0</v>
      </c>
      <c r="I21" s="19">
        <f t="shared" ref="I21" si="2">G21+H21</f>
        <v>0</v>
      </c>
    </row>
    <row r="22" spans="1:9" ht="15.75" x14ac:dyDescent="0.25">
      <c r="A22" s="17"/>
      <c r="B22" s="18" t="s">
        <v>55</v>
      </c>
      <c r="C22" s="17" t="s">
        <v>1</v>
      </c>
      <c r="D22" s="16">
        <v>800</v>
      </c>
      <c r="E22" s="19">
        <v>0</v>
      </c>
      <c r="F22" s="19">
        <v>0</v>
      </c>
      <c r="G22" s="19">
        <f t="shared" ref="G22" si="3">D22*E22</f>
        <v>0</v>
      </c>
      <c r="H22" s="19">
        <f t="shared" ref="H22" si="4">D22*F22</f>
        <v>0</v>
      </c>
      <c r="I22" s="19">
        <f t="shared" ref="I22" si="5">G22+H22</f>
        <v>0</v>
      </c>
    </row>
    <row r="23" spans="1:9" ht="15.75" x14ac:dyDescent="0.25">
      <c r="A23" s="17"/>
      <c r="B23" s="20" t="s">
        <v>38</v>
      </c>
      <c r="C23" s="21"/>
      <c r="D23" s="21"/>
      <c r="E23" s="22"/>
      <c r="F23" s="23"/>
      <c r="G23" s="23">
        <f>SUM(G21:G22)</f>
        <v>0</v>
      </c>
      <c r="H23" s="23">
        <f t="shared" ref="H23:I23" si="6">SUM(H21:H22)</f>
        <v>0</v>
      </c>
      <c r="I23" s="23">
        <f t="shared" si="6"/>
        <v>0</v>
      </c>
    </row>
    <row r="24" spans="1:9" ht="15.75" x14ac:dyDescent="0.25">
      <c r="A24" s="187" t="s">
        <v>47</v>
      </c>
      <c r="B24" s="187"/>
      <c r="C24" s="187"/>
      <c r="D24" s="187"/>
      <c r="E24" s="187"/>
      <c r="F24" s="187"/>
      <c r="G24" s="187"/>
      <c r="H24" s="187"/>
      <c r="I24" s="187"/>
    </row>
    <row r="25" spans="1:9" ht="15.75" x14ac:dyDescent="0.25">
      <c r="A25" s="17"/>
      <c r="B25" s="18" t="s">
        <v>48</v>
      </c>
      <c r="C25" s="17" t="s">
        <v>17</v>
      </c>
      <c r="D25" s="19">
        <f>82+115</f>
        <v>197</v>
      </c>
      <c r="E25" s="19">
        <v>0</v>
      </c>
      <c r="F25" s="19">
        <v>0</v>
      </c>
      <c r="G25" s="19">
        <f t="shared" ref="G25:G29" si="7">D25*E25</f>
        <v>0</v>
      </c>
      <c r="H25" s="19">
        <f t="shared" ref="H25:H29" si="8">D25*F25</f>
        <v>0</v>
      </c>
      <c r="I25" s="19">
        <f t="shared" ref="I25:I29" si="9">G25+H25</f>
        <v>0</v>
      </c>
    </row>
    <row r="26" spans="1:9" ht="15.75" x14ac:dyDescent="0.25">
      <c r="A26" s="17"/>
      <c r="B26" s="18" t="s">
        <v>49</v>
      </c>
      <c r="C26" s="17" t="s">
        <v>17</v>
      </c>
      <c r="D26" s="19">
        <v>16</v>
      </c>
      <c r="E26" s="19">
        <v>0</v>
      </c>
      <c r="F26" s="19">
        <v>0</v>
      </c>
      <c r="G26" s="19">
        <f t="shared" si="7"/>
        <v>0</v>
      </c>
      <c r="H26" s="19">
        <f t="shared" si="8"/>
        <v>0</v>
      </c>
      <c r="I26" s="19">
        <f t="shared" si="9"/>
        <v>0</v>
      </c>
    </row>
    <row r="27" spans="1:9" ht="31.5" x14ac:dyDescent="0.25">
      <c r="A27" s="17"/>
      <c r="B27" s="18" t="s">
        <v>64</v>
      </c>
      <c r="C27" s="17" t="s">
        <v>51</v>
      </c>
      <c r="D27" s="19">
        <v>3</v>
      </c>
      <c r="E27" s="19">
        <v>0</v>
      </c>
      <c r="F27" s="19">
        <v>0</v>
      </c>
      <c r="G27" s="19">
        <f t="shared" si="7"/>
        <v>0</v>
      </c>
      <c r="H27" s="19">
        <f t="shared" si="8"/>
        <v>0</v>
      </c>
      <c r="I27" s="19">
        <f t="shared" si="9"/>
        <v>0</v>
      </c>
    </row>
    <row r="28" spans="1:9" ht="31.5" x14ac:dyDescent="0.25">
      <c r="A28" s="17"/>
      <c r="B28" s="18" t="s">
        <v>50</v>
      </c>
      <c r="C28" s="17" t="s">
        <v>51</v>
      </c>
      <c r="D28" s="19">
        <v>7</v>
      </c>
      <c r="E28" s="19">
        <v>0</v>
      </c>
      <c r="F28" s="19">
        <v>0</v>
      </c>
      <c r="G28" s="19">
        <f t="shared" si="7"/>
        <v>0</v>
      </c>
      <c r="H28" s="19">
        <f t="shared" si="8"/>
        <v>0</v>
      </c>
      <c r="I28" s="19">
        <f t="shared" si="9"/>
        <v>0</v>
      </c>
    </row>
    <row r="29" spans="1:9" ht="15.75" x14ac:dyDescent="0.25">
      <c r="A29" s="17"/>
      <c r="B29" s="18" t="s">
        <v>149</v>
      </c>
      <c r="C29" s="17" t="s">
        <v>0</v>
      </c>
      <c r="D29" s="19">
        <v>2</v>
      </c>
      <c r="E29" s="19">
        <v>0</v>
      </c>
      <c r="F29" s="19">
        <v>0</v>
      </c>
      <c r="G29" s="19">
        <f t="shared" si="7"/>
        <v>0</v>
      </c>
      <c r="H29" s="19">
        <f t="shared" si="8"/>
        <v>0</v>
      </c>
      <c r="I29" s="19">
        <f t="shared" si="9"/>
        <v>0</v>
      </c>
    </row>
    <row r="30" spans="1:9" ht="15.75" x14ac:dyDescent="0.25">
      <c r="A30" s="17"/>
      <c r="B30" s="20" t="s">
        <v>52</v>
      </c>
      <c r="C30" s="21"/>
      <c r="D30" s="21"/>
      <c r="E30" s="22"/>
      <c r="F30" s="23"/>
      <c r="G30" s="23">
        <f>SUM(G25:G29)</f>
        <v>0</v>
      </c>
      <c r="H30" s="23">
        <f t="shared" ref="H30:I30" si="10">SUM(H25:H29)</f>
        <v>0</v>
      </c>
      <c r="I30" s="23">
        <f t="shared" si="10"/>
        <v>0</v>
      </c>
    </row>
    <row r="31" spans="1:9" ht="15.75" x14ac:dyDescent="0.25">
      <c r="A31" s="79" t="s">
        <v>150</v>
      </c>
      <c r="B31" s="80"/>
      <c r="C31" s="81"/>
      <c r="D31" s="81"/>
      <c r="E31" s="82"/>
      <c r="F31" s="82"/>
      <c r="G31" s="83">
        <f>G30+G23</f>
        <v>0</v>
      </c>
      <c r="H31" s="83">
        <f t="shared" ref="H31:I31" si="11">H30+H23</f>
        <v>0</v>
      </c>
      <c r="I31" s="83">
        <f t="shared" si="11"/>
        <v>0</v>
      </c>
    </row>
    <row r="32" spans="1:9" ht="15.75" x14ac:dyDescent="0.25">
      <c r="A32" s="65" t="s">
        <v>137</v>
      </c>
      <c r="B32" s="66"/>
      <c r="C32" s="66"/>
      <c r="D32" s="66"/>
      <c r="E32" s="66"/>
      <c r="F32" s="66"/>
      <c r="G32" s="66"/>
      <c r="H32" s="66"/>
      <c r="I32" s="67"/>
    </row>
    <row r="33" spans="1:9" ht="15.75" x14ac:dyDescent="0.25">
      <c r="A33" s="187" t="s">
        <v>140</v>
      </c>
      <c r="B33" s="187"/>
      <c r="C33" s="187"/>
      <c r="D33" s="187"/>
      <c r="E33" s="187"/>
      <c r="F33" s="187"/>
      <c r="G33" s="187"/>
      <c r="H33" s="187"/>
      <c r="I33" s="187"/>
    </row>
    <row r="34" spans="1:9" ht="15.75" x14ac:dyDescent="0.25">
      <c r="A34" s="17"/>
      <c r="B34" s="18" t="s">
        <v>21</v>
      </c>
      <c r="C34" s="17" t="s">
        <v>1</v>
      </c>
      <c r="D34" s="19">
        <f>360.29+20.95</f>
        <v>381.24</v>
      </c>
      <c r="E34" s="19">
        <v>0</v>
      </c>
      <c r="F34" s="19">
        <v>0</v>
      </c>
      <c r="G34" s="19">
        <f t="shared" ref="G34:G38" si="12">D34*E34</f>
        <v>0</v>
      </c>
      <c r="H34" s="19">
        <f t="shared" ref="H34:H38" si="13">D34*F34</f>
        <v>0</v>
      </c>
      <c r="I34" s="19">
        <f t="shared" ref="I34:I38" si="14">G34+H34</f>
        <v>0</v>
      </c>
    </row>
    <row r="35" spans="1:9" ht="15.75" x14ac:dyDescent="0.25">
      <c r="A35" s="17"/>
      <c r="B35" s="18" t="s">
        <v>30</v>
      </c>
      <c r="C35" s="17" t="s">
        <v>1</v>
      </c>
      <c r="D35" s="28">
        <f>D34-D38</f>
        <v>36.800000000000011</v>
      </c>
      <c r="E35" s="19">
        <v>0</v>
      </c>
      <c r="F35" s="19">
        <v>0</v>
      </c>
      <c r="G35" s="19">
        <f t="shared" si="12"/>
        <v>0</v>
      </c>
      <c r="H35" s="19">
        <f t="shared" si="13"/>
        <v>0</v>
      </c>
      <c r="I35" s="19">
        <f t="shared" si="14"/>
        <v>0</v>
      </c>
    </row>
    <row r="36" spans="1:9" ht="15.75" x14ac:dyDescent="0.25">
      <c r="A36" s="17"/>
      <c r="B36" s="18" t="s">
        <v>53</v>
      </c>
      <c r="C36" s="17" t="s">
        <v>1</v>
      </c>
      <c r="D36" s="19">
        <v>5.94</v>
      </c>
      <c r="E36" s="19">
        <v>0</v>
      </c>
      <c r="F36" s="19">
        <v>0</v>
      </c>
      <c r="G36" s="19">
        <f t="shared" si="12"/>
        <v>0</v>
      </c>
      <c r="H36" s="19">
        <f t="shared" si="13"/>
        <v>0</v>
      </c>
      <c r="I36" s="19">
        <f t="shared" si="14"/>
        <v>0</v>
      </c>
    </row>
    <row r="37" spans="1:9" ht="31.5" x14ac:dyDescent="0.25">
      <c r="A37" s="17"/>
      <c r="B37" s="18" t="s">
        <v>54</v>
      </c>
      <c r="C37" s="17" t="s">
        <v>1</v>
      </c>
      <c r="D37" s="19">
        <v>27.09</v>
      </c>
      <c r="E37" s="19">
        <v>0</v>
      </c>
      <c r="F37" s="19">
        <v>0</v>
      </c>
      <c r="G37" s="19">
        <f t="shared" si="12"/>
        <v>0</v>
      </c>
      <c r="H37" s="19">
        <f t="shared" si="13"/>
        <v>0</v>
      </c>
      <c r="I37" s="19">
        <f t="shared" si="14"/>
        <v>0</v>
      </c>
    </row>
    <row r="38" spans="1:9" ht="15.75" x14ac:dyDescent="0.25">
      <c r="A38" s="17"/>
      <c r="B38" s="18" t="s">
        <v>55</v>
      </c>
      <c r="C38" s="17" t="s">
        <v>1</v>
      </c>
      <c r="D38" s="19">
        <f>326.19+18.25</f>
        <v>344.44</v>
      </c>
      <c r="E38" s="19">
        <v>0</v>
      </c>
      <c r="F38" s="19">
        <v>0</v>
      </c>
      <c r="G38" s="19">
        <f t="shared" si="12"/>
        <v>0</v>
      </c>
      <c r="H38" s="19">
        <f t="shared" si="13"/>
        <v>0</v>
      </c>
      <c r="I38" s="19">
        <f t="shared" si="14"/>
        <v>0</v>
      </c>
    </row>
    <row r="39" spans="1:9" ht="15.75" x14ac:dyDescent="0.25">
      <c r="A39" s="17"/>
      <c r="B39" s="20" t="s">
        <v>38</v>
      </c>
      <c r="C39" s="21"/>
      <c r="D39" s="21"/>
      <c r="E39" s="22"/>
      <c r="F39" s="23"/>
      <c r="G39" s="23">
        <f>SUM(G34:G38)</f>
        <v>0</v>
      </c>
      <c r="H39" s="23">
        <f>SUM(H34:H38)</f>
        <v>0</v>
      </c>
      <c r="I39" s="23">
        <f>SUM(I34:I38)</f>
        <v>0</v>
      </c>
    </row>
    <row r="40" spans="1:9" ht="15.75" x14ac:dyDescent="0.25">
      <c r="A40" s="187" t="s">
        <v>141</v>
      </c>
      <c r="B40" s="187"/>
      <c r="C40" s="187"/>
      <c r="D40" s="187"/>
      <c r="E40" s="187"/>
      <c r="F40" s="187"/>
      <c r="G40" s="187"/>
      <c r="H40" s="187"/>
      <c r="I40" s="187"/>
    </row>
    <row r="41" spans="1:9" ht="31.5" x14ac:dyDescent="0.25">
      <c r="A41" s="17"/>
      <c r="B41" s="29" t="s">
        <v>43</v>
      </c>
      <c r="C41" s="14" t="s">
        <v>17</v>
      </c>
      <c r="D41" s="19">
        <f>35+17.8</f>
        <v>52.8</v>
      </c>
      <c r="E41" s="19">
        <v>0</v>
      </c>
      <c r="F41" s="16">
        <v>0</v>
      </c>
      <c r="G41" s="19">
        <f t="shared" ref="G41" si="15">D41*E41</f>
        <v>0</v>
      </c>
      <c r="H41" s="19">
        <f t="shared" ref="H41" si="16">D41*F41</f>
        <v>0</v>
      </c>
      <c r="I41" s="19">
        <f t="shared" ref="I41" si="17">G41+H41</f>
        <v>0</v>
      </c>
    </row>
    <row r="42" spans="1:9" ht="15.75" x14ac:dyDescent="0.25">
      <c r="A42" s="48"/>
      <c r="B42" s="20" t="s">
        <v>37</v>
      </c>
      <c r="C42" s="21"/>
      <c r="D42" s="21"/>
      <c r="E42" s="22"/>
      <c r="F42" s="23"/>
      <c r="G42" s="23">
        <f>SUM(G41:G41)</f>
        <v>0</v>
      </c>
      <c r="H42" s="23">
        <f>SUM(H41:H41)</f>
        <v>0</v>
      </c>
      <c r="I42" s="23">
        <f>SUM(I41:I41)</f>
        <v>0</v>
      </c>
    </row>
    <row r="43" spans="1:9" ht="15.75" x14ac:dyDescent="0.25">
      <c r="A43" s="188" t="s">
        <v>142</v>
      </c>
      <c r="B43" s="189"/>
      <c r="C43" s="189"/>
      <c r="D43" s="189"/>
      <c r="E43" s="189"/>
      <c r="F43" s="189"/>
      <c r="G43" s="189"/>
      <c r="H43" s="189"/>
      <c r="I43" s="190"/>
    </row>
    <row r="44" spans="1:9" ht="31.5" x14ac:dyDescent="0.25">
      <c r="A44" s="17"/>
      <c r="B44" s="15" t="s">
        <v>44</v>
      </c>
      <c r="C44" s="24" t="s">
        <v>0</v>
      </c>
      <c r="D44" s="31">
        <v>1</v>
      </c>
      <c r="E44" s="19">
        <v>0</v>
      </c>
      <c r="F44" s="16">
        <v>0</v>
      </c>
      <c r="G44" s="19">
        <f t="shared" ref="G44:G46" si="18">D44*E44</f>
        <v>0</v>
      </c>
      <c r="H44" s="19">
        <f t="shared" ref="H44:H46" si="19">D44*F44</f>
        <v>0</v>
      </c>
      <c r="I44" s="19">
        <f t="shared" ref="I44:I46" si="20">G44+H44</f>
        <v>0</v>
      </c>
    </row>
    <row r="45" spans="1:9" ht="15.75" x14ac:dyDescent="0.25">
      <c r="A45" s="17"/>
      <c r="B45" s="43" t="s">
        <v>25</v>
      </c>
      <c r="C45" s="44" t="s">
        <v>0</v>
      </c>
      <c r="D45" s="45">
        <v>4</v>
      </c>
      <c r="E45" s="19">
        <v>0</v>
      </c>
      <c r="F45" s="46">
        <v>0</v>
      </c>
      <c r="G45" s="19">
        <f t="shared" si="18"/>
        <v>0</v>
      </c>
      <c r="H45" s="19">
        <f t="shared" si="19"/>
        <v>0</v>
      </c>
      <c r="I45" s="19">
        <f t="shared" si="20"/>
        <v>0</v>
      </c>
    </row>
    <row r="46" spans="1:9" ht="15.75" x14ac:dyDescent="0.25">
      <c r="A46" s="17"/>
      <c r="B46" s="15" t="s">
        <v>18</v>
      </c>
      <c r="C46" s="24" t="s">
        <v>0</v>
      </c>
      <c r="D46" s="31">
        <v>3</v>
      </c>
      <c r="E46" s="19">
        <v>0</v>
      </c>
      <c r="F46" s="16">
        <v>0</v>
      </c>
      <c r="G46" s="19">
        <f t="shared" si="18"/>
        <v>0</v>
      </c>
      <c r="H46" s="19">
        <f t="shared" si="19"/>
        <v>0</v>
      </c>
      <c r="I46" s="19">
        <f t="shared" si="20"/>
        <v>0</v>
      </c>
    </row>
    <row r="47" spans="1:9" ht="15.75" x14ac:dyDescent="0.25">
      <c r="A47" s="18"/>
      <c r="B47" s="34" t="s">
        <v>36</v>
      </c>
      <c r="C47" s="33"/>
      <c r="D47" s="33"/>
      <c r="E47" s="35"/>
      <c r="F47" s="35"/>
      <c r="G47" s="36">
        <f>SUM(G44:G46)</f>
        <v>0</v>
      </c>
      <c r="H47" s="36">
        <f>SUM(H44:H46)</f>
        <v>0</v>
      </c>
      <c r="I47" s="36">
        <f>SUM(I44:I46)</f>
        <v>0</v>
      </c>
    </row>
    <row r="48" spans="1:9" ht="15.75" x14ac:dyDescent="0.25">
      <c r="A48" s="60" t="s">
        <v>138</v>
      </c>
      <c r="B48" s="61"/>
      <c r="C48" s="62"/>
      <c r="D48" s="62"/>
      <c r="E48" s="63"/>
      <c r="F48" s="63"/>
      <c r="G48" s="64">
        <f>G47+G42+G39</f>
        <v>0</v>
      </c>
      <c r="H48" s="64">
        <f t="shared" ref="H48:I48" si="21">H47+H42+H39</f>
        <v>0</v>
      </c>
      <c r="I48" s="64">
        <f t="shared" si="21"/>
        <v>0</v>
      </c>
    </row>
    <row r="49" spans="1:9" ht="17.25" customHeight="1" x14ac:dyDescent="0.25">
      <c r="A49" s="74" t="s">
        <v>139</v>
      </c>
      <c r="B49" s="69"/>
      <c r="C49" s="69"/>
      <c r="D49" s="69"/>
      <c r="E49" s="69"/>
      <c r="F49" s="69"/>
      <c r="G49" s="69"/>
      <c r="H49" s="69"/>
      <c r="I49" s="70"/>
    </row>
    <row r="50" spans="1:9" ht="15.75" x14ac:dyDescent="0.25">
      <c r="A50" s="187" t="s">
        <v>143</v>
      </c>
      <c r="B50" s="187"/>
      <c r="C50" s="187"/>
      <c r="D50" s="187"/>
      <c r="E50" s="187"/>
      <c r="F50" s="187"/>
      <c r="G50" s="187"/>
      <c r="H50" s="187"/>
      <c r="I50" s="187"/>
    </row>
    <row r="51" spans="1:9" ht="15.75" x14ac:dyDescent="0.25">
      <c r="A51" s="17"/>
      <c r="B51" s="18" t="s">
        <v>21</v>
      </c>
      <c r="C51" s="17" t="s">
        <v>1</v>
      </c>
      <c r="D51" s="19">
        <f>1608.9+240.13</f>
        <v>1849.0300000000002</v>
      </c>
      <c r="E51" s="19">
        <v>0</v>
      </c>
      <c r="F51" s="19">
        <v>0</v>
      </c>
      <c r="G51" s="19">
        <f t="shared" ref="G51:G55" si="22">D51*E51</f>
        <v>0</v>
      </c>
      <c r="H51" s="19">
        <f t="shared" ref="H51:H55" si="23">D51*F51</f>
        <v>0</v>
      </c>
      <c r="I51" s="19">
        <f t="shared" ref="I51:I55" si="24">G51+H51</f>
        <v>0</v>
      </c>
    </row>
    <row r="52" spans="1:9" ht="15.75" x14ac:dyDescent="0.25">
      <c r="A52" s="17"/>
      <c r="B52" s="18" t="s">
        <v>30</v>
      </c>
      <c r="C52" s="17" t="s">
        <v>1</v>
      </c>
      <c r="D52" s="28">
        <f>D51-D55</f>
        <v>191.90000000000009</v>
      </c>
      <c r="E52" s="19">
        <v>0</v>
      </c>
      <c r="F52" s="19">
        <v>0</v>
      </c>
      <c r="G52" s="19">
        <f t="shared" si="22"/>
        <v>0</v>
      </c>
      <c r="H52" s="19">
        <f t="shared" si="23"/>
        <v>0</v>
      </c>
      <c r="I52" s="19">
        <f t="shared" si="24"/>
        <v>0</v>
      </c>
    </row>
    <row r="53" spans="1:9" ht="15.75" x14ac:dyDescent="0.25">
      <c r="A53" s="17"/>
      <c r="B53" s="18" t="s">
        <v>27</v>
      </c>
      <c r="C53" s="17" t="s">
        <v>1</v>
      </c>
      <c r="D53" s="19">
        <v>19.97</v>
      </c>
      <c r="E53" s="19">
        <v>0</v>
      </c>
      <c r="F53" s="19">
        <v>0</v>
      </c>
      <c r="G53" s="19">
        <f t="shared" si="22"/>
        <v>0</v>
      </c>
      <c r="H53" s="19">
        <f t="shared" si="23"/>
        <v>0</v>
      </c>
      <c r="I53" s="19">
        <f t="shared" si="24"/>
        <v>0</v>
      </c>
    </row>
    <row r="54" spans="1:9" ht="31.5" x14ac:dyDescent="0.25">
      <c r="A54" s="17"/>
      <c r="B54" s="18" t="s">
        <v>54</v>
      </c>
      <c r="C54" s="17" t="s">
        <v>1</v>
      </c>
      <c r="D54" s="19">
        <v>113.92</v>
      </c>
      <c r="E54" s="19">
        <v>0</v>
      </c>
      <c r="F54" s="19">
        <v>0</v>
      </c>
      <c r="G54" s="19">
        <f t="shared" si="22"/>
        <v>0</v>
      </c>
      <c r="H54" s="19">
        <f t="shared" si="23"/>
        <v>0</v>
      </c>
      <c r="I54" s="19">
        <f t="shared" si="24"/>
        <v>0</v>
      </c>
    </row>
    <row r="55" spans="1:9" ht="15.75" x14ac:dyDescent="0.25">
      <c r="A55" s="17"/>
      <c r="B55" s="18" t="s">
        <v>55</v>
      </c>
      <c r="C55" s="17" t="s">
        <v>1</v>
      </c>
      <c r="D55" s="17">
        <f>1463.91+193.22</f>
        <v>1657.13</v>
      </c>
      <c r="E55" s="19">
        <v>0</v>
      </c>
      <c r="F55" s="19">
        <v>0</v>
      </c>
      <c r="G55" s="19">
        <f t="shared" si="22"/>
        <v>0</v>
      </c>
      <c r="H55" s="19">
        <f t="shared" si="23"/>
        <v>0</v>
      </c>
      <c r="I55" s="19">
        <f t="shared" si="24"/>
        <v>0</v>
      </c>
    </row>
    <row r="56" spans="1:9" ht="15.75" x14ac:dyDescent="0.25">
      <c r="A56" s="17"/>
      <c r="B56" s="20" t="s">
        <v>38</v>
      </c>
      <c r="C56" s="21"/>
      <c r="D56" s="21"/>
      <c r="E56" s="22"/>
      <c r="F56" s="23"/>
      <c r="G56" s="23">
        <f>SUM(G51:G55)</f>
        <v>0</v>
      </c>
      <c r="H56" s="23">
        <f t="shared" ref="H56:I56" si="25">SUM(H51:H55)</f>
        <v>0</v>
      </c>
      <c r="I56" s="23">
        <f t="shared" si="25"/>
        <v>0</v>
      </c>
    </row>
    <row r="57" spans="1:9" ht="15.75" x14ac:dyDescent="0.25">
      <c r="A57" s="187" t="s">
        <v>144</v>
      </c>
      <c r="B57" s="187"/>
      <c r="C57" s="187"/>
      <c r="D57" s="187"/>
      <c r="E57" s="187"/>
      <c r="F57" s="187"/>
      <c r="G57" s="187"/>
      <c r="H57" s="187"/>
      <c r="I57" s="187"/>
    </row>
    <row r="58" spans="1:9" ht="31.5" x14ac:dyDescent="0.25">
      <c r="A58" s="14"/>
      <c r="B58" s="29" t="s">
        <v>85</v>
      </c>
      <c r="C58" s="14" t="s">
        <v>17</v>
      </c>
      <c r="D58" s="16">
        <f>2.8+35.7+15+18.7+50+16.6+10.5</f>
        <v>149.30000000000001</v>
      </c>
      <c r="E58" s="16">
        <v>0</v>
      </c>
      <c r="F58" s="16">
        <v>0</v>
      </c>
      <c r="G58" s="19">
        <f t="shared" ref="G58:G61" si="26">D58*E58</f>
        <v>0</v>
      </c>
      <c r="H58" s="19">
        <f t="shared" ref="H58:H61" si="27">D58*F58</f>
        <v>0</v>
      </c>
      <c r="I58" s="19">
        <f t="shared" ref="I58:I61" si="28">G58+H58</f>
        <v>0</v>
      </c>
    </row>
    <row r="59" spans="1:9" ht="31.5" x14ac:dyDescent="0.25">
      <c r="A59" s="14"/>
      <c r="B59" s="29" t="s">
        <v>28</v>
      </c>
      <c r="C59" s="14" t="s">
        <v>0</v>
      </c>
      <c r="D59" s="16">
        <v>25</v>
      </c>
      <c r="E59" s="16">
        <v>0</v>
      </c>
      <c r="F59" s="16">
        <v>0</v>
      </c>
      <c r="G59" s="19">
        <f t="shared" si="26"/>
        <v>0</v>
      </c>
      <c r="H59" s="19">
        <f t="shared" si="27"/>
        <v>0</v>
      </c>
      <c r="I59" s="19">
        <f t="shared" si="28"/>
        <v>0</v>
      </c>
    </row>
    <row r="60" spans="1:9" ht="31.5" x14ac:dyDescent="0.25">
      <c r="A60" s="14"/>
      <c r="B60" s="29" t="s">
        <v>65</v>
      </c>
      <c r="C60" s="14" t="s">
        <v>17</v>
      </c>
      <c r="D60" s="16">
        <v>22</v>
      </c>
      <c r="E60" s="16">
        <v>0</v>
      </c>
      <c r="F60" s="16">
        <v>0</v>
      </c>
      <c r="G60" s="19">
        <f t="shared" si="26"/>
        <v>0</v>
      </c>
      <c r="H60" s="19">
        <f t="shared" si="27"/>
        <v>0</v>
      </c>
      <c r="I60" s="19">
        <f t="shared" si="28"/>
        <v>0</v>
      </c>
    </row>
    <row r="61" spans="1:9" ht="15.75" x14ac:dyDescent="0.25">
      <c r="A61" s="14"/>
      <c r="B61" s="29" t="s">
        <v>66</v>
      </c>
      <c r="C61" s="14" t="s">
        <v>0</v>
      </c>
      <c r="D61" s="16">
        <v>1</v>
      </c>
      <c r="E61" s="16">
        <v>0</v>
      </c>
      <c r="F61" s="16">
        <v>0</v>
      </c>
      <c r="G61" s="19">
        <f t="shared" si="26"/>
        <v>0</v>
      </c>
      <c r="H61" s="19">
        <f t="shared" si="27"/>
        <v>0</v>
      </c>
      <c r="I61" s="19">
        <f t="shared" si="28"/>
        <v>0</v>
      </c>
    </row>
    <row r="62" spans="1:9" ht="15.75" x14ac:dyDescent="0.25">
      <c r="A62" s="51"/>
      <c r="B62" s="56" t="s">
        <v>37</v>
      </c>
      <c r="C62" s="57"/>
      <c r="D62" s="57"/>
      <c r="E62" s="58"/>
      <c r="F62" s="59"/>
      <c r="G62" s="59">
        <f>SUM(G58:G61)</f>
        <v>0</v>
      </c>
      <c r="H62" s="59">
        <f t="shared" ref="H62:I62" si="29">SUM(H58:H61)</f>
        <v>0</v>
      </c>
      <c r="I62" s="59">
        <f t="shared" si="29"/>
        <v>0</v>
      </c>
    </row>
    <row r="63" spans="1:9" ht="15.75" x14ac:dyDescent="0.25">
      <c r="A63" s="183" t="s">
        <v>145</v>
      </c>
      <c r="B63" s="184"/>
      <c r="C63" s="184"/>
      <c r="D63" s="184"/>
      <c r="E63" s="184"/>
      <c r="F63" s="184"/>
      <c r="G63" s="184"/>
      <c r="H63" s="184"/>
      <c r="I63" s="185"/>
    </row>
    <row r="64" spans="1:9" ht="47.25" x14ac:dyDescent="0.25">
      <c r="A64" s="14"/>
      <c r="B64" s="15" t="s">
        <v>56</v>
      </c>
      <c r="C64" s="24" t="s">
        <v>0</v>
      </c>
      <c r="D64" s="31">
        <v>1</v>
      </c>
      <c r="E64" s="16">
        <v>0</v>
      </c>
      <c r="F64" s="16">
        <v>0</v>
      </c>
      <c r="G64" s="19">
        <f t="shared" ref="G64:G74" si="30">D64*E64</f>
        <v>0</v>
      </c>
      <c r="H64" s="19">
        <f t="shared" ref="H64:H74" si="31">D64*F64</f>
        <v>0</v>
      </c>
      <c r="I64" s="19">
        <f t="shared" ref="I64:I74" si="32">G64+H64</f>
        <v>0</v>
      </c>
    </row>
    <row r="65" spans="1:9" ht="47.25" x14ac:dyDescent="0.25">
      <c r="A65" s="14"/>
      <c r="B65" s="15" t="s">
        <v>57</v>
      </c>
      <c r="C65" s="24" t="s">
        <v>0</v>
      </c>
      <c r="D65" s="31">
        <v>1</v>
      </c>
      <c r="E65" s="16">
        <v>0</v>
      </c>
      <c r="F65" s="16">
        <v>0</v>
      </c>
      <c r="G65" s="19">
        <f t="shared" si="30"/>
        <v>0</v>
      </c>
      <c r="H65" s="19">
        <f t="shared" si="31"/>
        <v>0</v>
      </c>
      <c r="I65" s="19">
        <f t="shared" si="32"/>
        <v>0</v>
      </c>
    </row>
    <row r="66" spans="1:9" ht="47.25" x14ac:dyDescent="0.25">
      <c r="A66" s="14"/>
      <c r="B66" s="15" t="s">
        <v>58</v>
      </c>
      <c r="C66" s="24" t="s">
        <v>0</v>
      </c>
      <c r="D66" s="31">
        <v>1</v>
      </c>
      <c r="E66" s="16">
        <v>0</v>
      </c>
      <c r="F66" s="16">
        <v>0</v>
      </c>
      <c r="G66" s="19">
        <f t="shared" si="30"/>
        <v>0</v>
      </c>
      <c r="H66" s="19">
        <f t="shared" si="31"/>
        <v>0</v>
      </c>
      <c r="I66" s="19">
        <f t="shared" si="32"/>
        <v>0</v>
      </c>
    </row>
    <row r="67" spans="1:9" ht="47.25" x14ac:dyDescent="0.25">
      <c r="A67" s="14"/>
      <c r="B67" s="15" t="s">
        <v>59</v>
      </c>
      <c r="C67" s="24" t="s">
        <v>0</v>
      </c>
      <c r="D67" s="31">
        <v>1</v>
      </c>
      <c r="E67" s="16">
        <v>0</v>
      </c>
      <c r="F67" s="16">
        <v>0</v>
      </c>
      <c r="G67" s="19">
        <f t="shared" si="30"/>
        <v>0</v>
      </c>
      <c r="H67" s="19">
        <f t="shared" si="31"/>
        <v>0</v>
      </c>
      <c r="I67" s="19">
        <f t="shared" si="32"/>
        <v>0</v>
      </c>
    </row>
    <row r="68" spans="1:9" ht="47.25" x14ac:dyDescent="0.25">
      <c r="A68" s="14"/>
      <c r="B68" s="15" t="s">
        <v>60</v>
      </c>
      <c r="C68" s="24" t="s">
        <v>0</v>
      </c>
      <c r="D68" s="31">
        <v>1</v>
      </c>
      <c r="E68" s="16">
        <v>0</v>
      </c>
      <c r="F68" s="16">
        <v>0</v>
      </c>
      <c r="G68" s="19">
        <f t="shared" si="30"/>
        <v>0</v>
      </c>
      <c r="H68" s="19">
        <f t="shared" si="31"/>
        <v>0</v>
      </c>
      <c r="I68" s="19">
        <f t="shared" si="32"/>
        <v>0</v>
      </c>
    </row>
    <row r="69" spans="1:9" ht="47.25" x14ac:dyDescent="0.25">
      <c r="A69" s="14"/>
      <c r="B69" s="15" t="s">
        <v>61</v>
      </c>
      <c r="C69" s="24" t="s">
        <v>0</v>
      </c>
      <c r="D69" s="31">
        <v>1</v>
      </c>
      <c r="E69" s="16">
        <v>0</v>
      </c>
      <c r="F69" s="16">
        <v>0</v>
      </c>
      <c r="G69" s="19">
        <f t="shared" si="30"/>
        <v>0</v>
      </c>
      <c r="H69" s="19">
        <f t="shared" si="31"/>
        <v>0</v>
      </c>
      <c r="I69" s="19">
        <f t="shared" si="32"/>
        <v>0</v>
      </c>
    </row>
    <row r="70" spans="1:9" ht="47.25" x14ac:dyDescent="0.25">
      <c r="A70" s="14"/>
      <c r="B70" s="15" t="s">
        <v>62</v>
      </c>
      <c r="C70" s="24" t="s">
        <v>0</v>
      </c>
      <c r="D70" s="31">
        <v>1</v>
      </c>
      <c r="E70" s="16">
        <v>0</v>
      </c>
      <c r="F70" s="16">
        <v>0</v>
      </c>
      <c r="G70" s="19">
        <f t="shared" si="30"/>
        <v>0</v>
      </c>
      <c r="H70" s="19">
        <f t="shared" si="31"/>
        <v>0</v>
      </c>
      <c r="I70" s="19">
        <f t="shared" si="32"/>
        <v>0</v>
      </c>
    </row>
    <row r="71" spans="1:9" ht="47.25" x14ac:dyDescent="0.25">
      <c r="A71" s="14"/>
      <c r="B71" s="15" t="s">
        <v>63</v>
      </c>
      <c r="C71" s="24" t="s">
        <v>0</v>
      </c>
      <c r="D71" s="31">
        <v>1</v>
      </c>
      <c r="E71" s="16">
        <v>0</v>
      </c>
      <c r="F71" s="16">
        <v>0</v>
      </c>
      <c r="G71" s="19">
        <f t="shared" si="30"/>
        <v>0</v>
      </c>
      <c r="H71" s="19">
        <f t="shared" si="31"/>
        <v>0</v>
      </c>
      <c r="I71" s="19">
        <f t="shared" si="32"/>
        <v>0</v>
      </c>
    </row>
    <row r="72" spans="1:9" ht="15.75" x14ac:dyDescent="0.25">
      <c r="A72" s="14"/>
      <c r="B72" s="15" t="s">
        <v>45</v>
      </c>
      <c r="C72" s="24" t="s">
        <v>0</v>
      </c>
      <c r="D72" s="31">
        <f>16+2</f>
        <v>18</v>
      </c>
      <c r="E72" s="16">
        <v>0</v>
      </c>
      <c r="F72" s="16">
        <v>0</v>
      </c>
      <c r="G72" s="19">
        <f t="shared" si="30"/>
        <v>0</v>
      </c>
      <c r="H72" s="19">
        <f t="shared" si="31"/>
        <v>0</v>
      </c>
      <c r="I72" s="19">
        <f t="shared" si="32"/>
        <v>0</v>
      </c>
    </row>
    <row r="73" spans="1:9" ht="15.75" x14ac:dyDescent="0.25">
      <c r="A73" s="14"/>
      <c r="B73" s="15" t="s">
        <v>18</v>
      </c>
      <c r="C73" s="24" t="s">
        <v>0</v>
      </c>
      <c r="D73" s="31">
        <v>8</v>
      </c>
      <c r="E73" s="16">
        <v>0</v>
      </c>
      <c r="F73" s="16">
        <v>0</v>
      </c>
      <c r="G73" s="19">
        <f t="shared" si="30"/>
        <v>0</v>
      </c>
      <c r="H73" s="19">
        <f t="shared" si="31"/>
        <v>0</v>
      </c>
      <c r="I73" s="19">
        <f t="shared" si="32"/>
        <v>0</v>
      </c>
    </row>
    <row r="74" spans="1:9" ht="31.5" x14ac:dyDescent="0.25">
      <c r="A74" s="14"/>
      <c r="B74" s="15" t="s">
        <v>134</v>
      </c>
      <c r="C74" s="24" t="s">
        <v>0</v>
      </c>
      <c r="D74" s="31">
        <v>2</v>
      </c>
      <c r="E74" s="16">
        <v>0</v>
      </c>
      <c r="F74" s="16">
        <v>0</v>
      </c>
      <c r="G74" s="19">
        <f t="shared" si="30"/>
        <v>0</v>
      </c>
      <c r="H74" s="19">
        <f t="shared" si="31"/>
        <v>0</v>
      </c>
      <c r="I74" s="19">
        <f t="shared" si="32"/>
        <v>0</v>
      </c>
    </row>
    <row r="75" spans="1:9" ht="15.75" x14ac:dyDescent="0.25">
      <c r="A75" s="18"/>
      <c r="B75" s="34" t="s">
        <v>36</v>
      </c>
      <c r="C75" s="33"/>
      <c r="D75" s="33"/>
      <c r="E75" s="35"/>
      <c r="F75" s="35"/>
      <c r="G75" s="36">
        <f>SUM(G64:G74)</f>
        <v>0</v>
      </c>
      <c r="H75" s="36">
        <f t="shared" ref="H75:I75" si="33">SUM(H64:H74)</f>
        <v>0</v>
      </c>
      <c r="I75" s="36">
        <f t="shared" si="33"/>
        <v>0</v>
      </c>
    </row>
    <row r="76" spans="1:9" ht="30.75" customHeight="1" x14ac:dyDescent="0.25">
      <c r="A76" s="198" t="s">
        <v>146</v>
      </c>
      <c r="B76" s="199"/>
      <c r="C76" s="199"/>
      <c r="D76" s="199"/>
      <c r="E76" s="199"/>
      <c r="F76" s="200"/>
      <c r="G76" s="68">
        <f>G75+G62+G56</f>
        <v>0</v>
      </c>
      <c r="H76" s="68">
        <f t="shared" ref="H76:I76" si="34">H75+H62+H56</f>
        <v>0</v>
      </c>
      <c r="I76" s="68">
        <f t="shared" si="34"/>
        <v>0</v>
      </c>
    </row>
    <row r="77" spans="1:9" ht="15.75" x14ac:dyDescent="0.25">
      <c r="A77" s="183" t="s">
        <v>147</v>
      </c>
      <c r="B77" s="184"/>
      <c r="C77" s="184"/>
      <c r="D77" s="184"/>
      <c r="E77" s="184"/>
      <c r="F77" s="184"/>
      <c r="G77" s="184"/>
      <c r="H77" s="184"/>
      <c r="I77" s="185"/>
    </row>
    <row r="78" spans="1:9" s="32" customFormat="1" ht="15.75" x14ac:dyDescent="0.25">
      <c r="A78" s="17"/>
      <c r="B78" s="18" t="s">
        <v>19</v>
      </c>
      <c r="C78" s="14" t="s">
        <v>17</v>
      </c>
      <c r="D78" s="28">
        <f>D58+D41</f>
        <v>202.10000000000002</v>
      </c>
      <c r="E78" s="19">
        <v>0</v>
      </c>
      <c r="F78" s="19">
        <v>0</v>
      </c>
      <c r="G78" s="19">
        <f t="shared" ref="G78:G83" si="35">D78*E78</f>
        <v>0</v>
      </c>
      <c r="H78" s="19">
        <f t="shared" ref="H78:H83" si="36">D78*F78</f>
        <v>0</v>
      </c>
      <c r="I78" s="19">
        <f t="shared" ref="I78:I83" si="37">G78+H78</f>
        <v>0</v>
      </c>
    </row>
    <row r="79" spans="1:9" ht="31.5" x14ac:dyDescent="0.25">
      <c r="A79" s="17"/>
      <c r="B79" s="18" t="s">
        <v>22</v>
      </c>
      <c r="C79" s="17" t="s">
        <v>0</v>
      </c>
      <c r="D79" s="28">
        <v>4</v>
      </c>
      <c r="E79" s="19">
        <v>0</v>
      </c>
      <c r="F79" s="19">
        <v>0</v>
      </c>
      <c r="G79" s="19">
        <f t="shared" si="35"/>
        <v>0</v>
      </c>
      <c r="H79" s="19">
        <f t="shared" si="36"/>
        <v>0</v>
      </c>
      <c r="I79" s="19">
        <f t="shared" si="37"/>
        <v>0</v>
      </c>
    </row>
    <row r="80" spans="1:9" ht="15.75" x14ac:dyDescent="0.25">
      <c r="A80" s="17"/>
      <c r="B80" s="18" t="s">
        <v>26</v>
      </c>
      <c r="C80" s="17" t="s">
        <v>0</v>
      </c>
      <c r="D80" s="28">
        <v>1</v>
      </c>
      <c r="E80" s="19">
        <v>0</v>
      </c>
      <c r="F80" s="19">
        <v>0</v>
      </c>
      <c r="G80" s="19">
        <f t="shared" si="35"/>
        <v>0</v>
      </c>
      <c r="H80" s="19">
        <f t="shared" si="36"/>
        <v>0</v>
      </c>
      <c r="I80" s="19">
        <f t="shared" si="37"/>
        <v>0</v>
      </c>
    </row>
    <row r="81" spans="1:9" ht="15.75" x14ac:dyDescent="0.25">
      <c r="A81" s="17"/>
      <c r="B81" s="18" t="s">
        <v>31</v>
      </c>
      <c r="C81" s="17" t="s">
        <v>0</v>
      </c>
      <c r="D81" s="28">
        <v>2</v>
      </c>
      <c r="E81" s="19">
        <v>0</v>
      </c>
      <c r="F81" s="19">
        <v>0</v>
      </c>
      <c r="G81" s="19">
        <f t="shared" si="35"/>
        <v>0</v>
      </c>
      <c r="H81" s="19">
        <f t="shared" si="36"/>
        <v>0</v>
      </c>
      <c r="I81" s="19">
        <f t="shared" si="37"/>
        <v>0</v>
      </c>
    </row>
    <row r="82" spans="1:9" ht="47.25" x14ac:dyDescent="0.25">
      <c r="A82" s="17"/>
      <c r="B82" s="18" t="s">
        <v>20</v>
      </c>
      <c r="C82" s="17" t="s">
        <v>0</v>
      </c>
      <c r="D82" s="28">
        <v>1</v>
      </c>
      <c r="E82" s="19">
        <v>0</v>
      </c>
      <c r="F82" s="19">
        <v>0</v>
      </c>
      <c r="G82" s="19">
        <f t="shared" si="35"/>
        <v>0</v>
      </c>
      <c r="H82" s="19">
        <f t="shared" si="36"/>
        <v>0</v>
      </c>
      <c r="I82" s="19">
        <f t="shared" si="37"/>
        <v>0</v>
      </c>
    </row>
    <row r="83" spans="1:9" ht="94.5" x14ac:dyDescent="0.25">
      <c r="A83" s="17"/>
      <c r="B83" s="78" t="s">
        <v>136</v>
      </c>
      <c r="C83" s="17" t="s">
        <v>0</v>
      </c>
      <c r="D83" s="28">
        <v>1</v>
      </c>
      <c r="E83" s="19">
        <v>0</v>
      </c>
      <c r="F83" s="19">
        <v>0</v>
      </c>
      <c r="G83" s="19">
        <f t="shared" si="35"/>
        <v>0</v>
      </c>
      <c r="H83" s="19">
        <f t="shared" si="36"/>
        <v>0</v>
      </c>
      <c r="I83" s="19">
        <f t="shared" si="37"/>
        <v>0</v>
      </c>
    </row>
    <row r="84" spans="1:9" ht="15.75" x14ac:dyDescent="0.25">
      <c r="A84" s="15"/>
      <c r="B84" s="26" t="s">
        <v>148</v>
      </c>
      <c r="C84" s="24"/>
      <c r="D84" s="24"/>
      <c r="E84" s="25"/>
      <c r="F84" s="25" t="s">
        <v>15</v>
      </c>
      <c r="G84" s="27">
        <f>SUM(G78:G83)</f>
        <v>0</v>
      </c>
      <c r="H84" s="27">
        <f t="shared" ref="H84:I84" si="38">SUM(H78:H83)</f>
        <v>0</v>
      </c>
      <c r="I84" s="27">
        <f t="shared" si="38"/>
        <v>0</v>
      </c>
    </row>
    <row r="85" spans="1:9" ht="15.75" x14ac:dyDescent="0.25">
      <c r="A85" s="183" t="s">
        <v>152</v>
      </c>
      <c r="B85" s="184"/>
      <c r="C85" s="184"/>
      <c r="D85" s="184"/>
      <c r="E85" s="184"/>
      <c r="F85" s="184"/>
      <c r="G85" s="184"/>
      <c r="H85" s="184"/>
      <c r="I85" s="185"/>
    </row>
    <row r="86" spans="1:9" ht="15.75" x14ac:dyDescent="0.25">
      <c r="A86" s="15"/>
      <c r="B86" s="26"/>
      <c r="C86" s="24"/>
      <c r="D86" s="24"/>
      <c r="E86" s="25"/>
      <c r="F86" s="25"/>
      <c r="G86" s="27"/>
      <c r="H86" s="27"/>
      <c r="I86" s="27"/>
    </row>
    <row r="87" spans="1:9" ht="15.75" x14ac:dyDescent="0.25">
      <c r="A87" s="15"/>
      <c r="B87" s="26"/>
      <c r="C87" s="24"/>
      <c r="D87" s="24"/>
      <c r="E87" s="25"/>
      <c r="F87" s="25"/>
      <c r="G87" s="27"/>
      <c r="H87" s="27"/>
      <c r="I87" s="27"/>
    </row>
    <row r="88" spans="1:9" ht="15.75" x14ac:dyDescent="0.25">
      <c r="A88" s="15"/>
      <c r="B88" s="26"/>
      <c r="C88" s="24"/>
      <c r="D88" s="24"/>
      <c r="E88" s="25"/>
      <c r="F88" s="25"/>
      <c r="G88" s="27"/>
      <c r="H88" s="27"/>
      <c r="I88" s="27"/>
    </row>
    <row r="89" spans="1:9" ht="15.75" x14ac:dyDescent="0.25">
      <c r="A89" s="15"/>
      <c r="B89" s="26"/>
      <c r="C89" s="24"/>
      <c r="D89" s="24"/>
      <c r="E89" s="25"/>
      <c r="F89" s="25"/>
      <c r="G89" s="27"/>
      <c r="H89" s="27"/>
      <c r="I89" s="27"/>
    </row>
    <row r="90" spans="1:9" ht="15.75" x14ac:dyDescent="0.25">
      <c r="A90" s="15"/>
      <c r="B90" s="26" t="s">
        <v>148</v>
      </c>
      <c r="C90" s="24"/>
      <c r="D90" s="24"/>
      <c r="E90" s="25"/>
      <c r="F90" s="25" t="s">
        <v>15</v>
      </c>
      <c r="G90" s="27">
        <f>SUM(G86:G89)</f>
        <v>0</v>
      </c>
      <c r="H90" s="27">
        <f t="shared" ref="H90:I90" si="39">SUM(H86:H89)</f>
        <v>0</v>
      </c>
      <c r="I90" s="27">
        <f t="shared" si="39"/>
        <v>0</v>
      </c>
    </row>
    <row r="91" spans="1:9" ht="15.75" x14ac:dyDescent="0.25">
      <c r="A91" s="54"/>
      <c r="B91" s="71" t="s">
        <v>39</v>
      </c>
      <c r="C91" s="55"/>
      <c r="D91" s="55"/>
      <c r="E91" s="72"/>
      <c r="F91" s="72" t="s">
        <v>15</v>
      </c>
      <c r="G91" s="73">
        <f>G31+G84+G76+G48+G90</f>
        <v>0</v>
      </c>
      <c r="H91" s="73">
        <f t="shared" ref="H91:I91" si="40">H31+H84+H76+H48+H90</f>
        <v>0</v>
      </c>
      <c r="I91" s="73">
        <f t="shared" si="40"/>
        <v>0</v>
      </c>
    </row>
  </sheetData>
  <mergeCells count="23">
    <mergeCell ref="I17:I18"/>
    <mergeCell ref="A50:I50"/>
    <mergeCell ref="A57:I57"/>
    <mergeCell ref="A63:I63"/>
    <mergeCell ref="A76:F76"/>
    <mergeCell ref="A20:I20"/>
    <mergeCell ref="A24:I24"/>
    <mergeCell ref="A85:I85"/>
    <mergeCell ref="A8:I8"/>
    <mergeCell ref="A33:I33"/>
    <mergeCell ref="A40:I40"/>
    <mergeCell ref="A43:I43"/>
    <mergeCell ref="B13:I13"/>
    <mergeCell ref="B9:I9"/>
    <mergeCell ref="A11:I11"/>
    <mergeCell ref="A77:I77"/>
    <mergeCell ref="B14:I14"/>
    <mergeCell ref="A17:A18"/>
    <mergeCell ref="B17:B18"/>
    <mergeCell ref="C17:C18"/>
    <mergeCell ref="D17:D18"/>
    <mergeCell ref="E17:F17"/>
    <mergeCell ref="G17:H17"/>
  </mergeCells>
  <pageMargins left="0.70866141732283472" right="0.70866141732283472" top="0.74803149606299213" bottom="0.74803149606299213" header="0.31496062992125984" footer="0.31496062992125984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activeCell="E6" sqref="E6"/>
    </sheetView>
  </sheetViews>
  <sheetFormatPr defaultRowHeight="15" x14ac:dyDescent="0.25"/>
  <cols>
    <col min="1" max="1" width="18.28515625" customWidth="1"/>
    <col min="2" max="2" width="10.7109375" customWidth="1"/>
    <col min="3" max="3" width="17.140625" customWidth="1"/>
    <col min="4" max="4" width="10.28515625" customWidth="1"/>
    <col min="5" max="5" width="18.85546875" customWidth="1"/>
    <col min="6" max="7" width="21.5703125" customWidth="1"/>
    <col min="8" max="8" width="24.5703125" customWidth="1"/>
    <col min="9" max="10" width="18.28515625" customWidth="1"/>
    <col min="11" max="12" width="20.85546875" customWidth="1"/>
    <col min="13" max="13" width="25.28515625" customWidth="1"/>
    <col min="14" max="14" width="13.85546875" customWidth="1"/>
    <col min="15" max="15" width="15.5703125" customWidth="1"/>
    <col min="16" max="16" width="15.5703125" style="85" customWidth="1"/>
    <col min="17" max="17" width="22.5703125" style="85" customWidth="1"/>
    <col min="18" max="18" width="16.5703125" customWidth="1"/>
    <col min="19" max="19" width="14.140625" customWidth="1"/>
    <col min="20" max="20" width="20.7109375" customWidth="1"/>
    <col min="21" max="21" width="18.140625" customWidth="1"/>
    <col min="22" max="22" width="16.85546875" customWidth="1"/>
  </cols>
  <sheetData>
    <row r="1" spans="1:22" x14ac:dyDescent="0.25">
      <c r="B1" s="84" t="s">
        <v>67</v>
      </c>
      <c r="C1">
        <v>0.67</v>
      </c>
    </row>
    <row r="2" spans="1:22" ht="15.75" thickBot="1" x14ac:dyDescent="0.3"/>
    <row r="3" spans="1:22" ht="15" customHeight="1" x14ac:dyDescent="0.25">
      <c r="A3" s="213" t="s">
        <v>68</v>
      </c>
      <c r="B3" s="213" t="s">
        <v>69</v>
      </c>
      <c r="C3" s="213" t="s">
        <v>70</v>
      </c>
      <c r="D3" s="215" t="s">
        <v>71</v>
      </c>
      <c r="E3" s="217" t="s">
        <v>72</v>
      </c>
      <c r="F3" s="218" t="s">
        <v>73</v>
      </c>
      <c r="G3" s="219"/>
      <c r="H3" s="219"/>
      <c r="I3" s="219"/>
      <c r="J3" s="220"/>
      <c r="K3" s="218" t="s">
        <v>74</v>
      </c>
      <c r="L3" s="219"/>
      <c r="M3" s="219"/>
      <c r="N3" s="219"/>
      <c r="O3" s="219"/>
      <c r="P3" s="221" t="s">
        <v>75</v>
      </c>
      <c r="Q3" s="201" t="s">
        <v>76</v>
      </c>
      <c r="R3" s="203" t="s">
        <v>77</v>
      </c>
      <c r="S3" s="205" t="s">
        <v>78</v>
      </c>
      <c r="T3" s="203" t="s">
        <v>79</v>
      </c>
      <c r="U3" s="207" t="s">
        <v>94</v>
      </c>
      <c r="V3" s="209" t="s">
        <v>95</v>
      </c>
    </row>
    <row r="4" spans="1:22" ht="45" customHeight="1" thickBot="1" x14ac:dyDescent="0.3">
      <c r="A4" s="214"/>
      <c r="B4" s="214"/>
      <c r="C4" s="214"/>
      <c r="D4" s="216"/>
      <c r="E4" s="211"/>
      <c r="F4" s="86" t="s">
        <v>80</v>
      </c>
      <c r="G4" s="87" t="s">
        <v>81</v>
      </c>
      <c r="H4" s="87" t="s">
        <v>82</v>
      </c>
      <c r="I4" s="88" t="s">
        <v>83</v>
      </c>
      <c r="J4" s="89" t="s">
        <v>84</v>
      </c>
      <c r="K4" s="86" t="s">
        <v>80</v>
      </c>
      <c r="L4" s="87" t="s">
        <v>81</v>
      </c>
      <c r="M4" s="87" t="s">
        <v>82</v>
      </c>
      <c r="N4" s="88" t="s">
        <v>83</v>
      </c>
      <c r="O4" s="130" t="s">
        <v>84</v>
      </c>
      <c r="P4" s="223"/>
      <c r="Q4" s="224"/>
      <c r="R4" s="215"/>
      <c r="S4" s="214"/>
      <c r="T4" s="215"/>
      <c r="U4" s="211"/>
      <c r="V4" s="212"/>
    </row>
    <row r="5" spans="1:22" x14ac:dyDescent="0.25">
      <c r="A5" s="90" t="s">
        <v>87</v>
      </c>
      <c r="B5" s="91">
        <v>10.5</v>
      </c>
      <c r="C5" s="92" t="s">
        <v>86</v>
      </c>
      <c r="D5" s="92">
        <v>0.25</v>
      </c>
      <c r="E5" s="93">
        <f>0.25+0.5</f>
        <v>0.75</v>
      </c>
      <c r="F5" s="91">
        <v>146.30000000000001</v>
      </c>
      <c r="G5" s="92">
        <f>F5</f>
        <v>146.30000000000001</v>
      </c>
      <c r="H5" s="92">
        <v>142.4</v>
      </c>
      <c r="I5" s="92">
        <f>F5-H5</f>
        <v>3.9000000000000057</v>
      </c>
      <c r="J5" s="94">
        <f>G5-H5</f>
        <v>3.9000000000000057</v>
      </c>
      <c r="K5" s="91">
        <v>146.19999999999999</v>
      </c>
      <c r="L5" s="92">
        <f>K5</f>
        <v>146.19999999999999</v>
      </c>
      <c r="M5" s="92">
        <v>142.19999999999999</v>
      </c>
      <c r="N5" s="92">
        <f t="shared" ref="N5:N12" si="0">K5-M5</f>
        <v>4</v>
      </c>
      <c r="O5" s="131">
        <f>L5-M5</f>
        <v>4</v>
      </c>
      <c r="P5" s="139">
        <f>(N5-I5)/2+I5+0.15</f>
        <v>4.1000000000000032</v>
      </c>
      <c r="Q5" s="140">
        <f>(O5-J5)/2+J5</f>
        <v>3.9500000000000028</v>
      </c>
      <c r="R5" s="141">
        <f t="shared" ref="R5:R12" si="1">((P5*$C$1*2+E5)+E5)/2*P5*B5</f>
        <v>150.5458500000002</v>
      </c>
      <c r="S5" s="141">
        <f t="shared" ref="S5:S12" si="2">0.25*3.14*D5*D5*B5</f>
        <v>0.51515624999999998</v>
      </c>
      <c r="T5" s="141">
        <f>(E5+(E5+0.15*$C$1*2))/2*0.15*B5</f>
        <v>1.3395375</v>
      </c>
      <c r="U5" s="143">
        <f>(E5+(E5+(0.15+D5+0.3)*$C$1*2))/2*(0.15+D5+0.3)*B5-S5-T5</f>
        <v>7.1049562499999972</v>
      </c>
      <c r="V5" s="142">
        <f>R5-S5-T5-U5</f>
        <v>141.58620000000022</v>
      </c>
    </row>
    <row r="6" spans="1:22" x14ac:dyDescent="0.25">
      <c r="A6" s="95" t="s">
        <v>88</v>
      </c>
      <c r="B6" s="96">
        <v>16.600000000000001</v>
      </c>
      <c r="C6" s="97" t="s">
        <v>86</v>
      </c>
      <c r="D6" s="97">
        <v>0.25</v>
      </c>
      <c r="E6" s="98">
        <f>0.25+0.5</f>
        <v>0.75</v>
      </c>
      <c r="F6" s="96">
        <v>146.19999999999999</v>
      </c>
      <c r="G6" s="97">
        <f>F6</f>
        <v>146.19999999999999</v>
      </c>
      <c r="H6" s="97">
        <v>142.19999999999999</v>
      </c>
      <c r="I6" s="97">
        <f t="shared" ref="I6:I12" si="3">F6-H6</f>
        <v>4</v>
      </c>
      <c r="J6" s="99">
        <f t="shared" ref="J6:J12" si="4">G6-H6</f>
        <v>4</v>
      </c>
      <c r="K6" s="96">
        <v>145.75</v>
      </c>
      <c r="L6" s="97">
        <f>K6</f>
        <v>145.75</v>
      </c>
      <c r="M6" s="97">
        <v>141.88999999999999</v>
      </c>
      <c r="N6" s="127">
        <f t="shared" si="0"/>
        <v>3.8600000000000136</v>
      </c>
      <c r="O6" s="132">
        <f t="shared" ref="O6:O12" si="5">L6-M6</f>
        <v>3.8600000000000136</v>
      </c>
      <c r="P6" s="136">
        <f t="shared" ref="P6:P12" si="6">(N6-I6)/2+I6+0.15</f>
        <v>4.0800000000000072</v>
      </c>
      <c r="Q6" s="128">
        <f t="shared" ref="Q6:Q12" si="7">(O6-J6)/2+J6</f>
        <v>3.9300000000000068</v>
      </c>
      <c r="R6" s="100">
        <f t="shared" si="1"/>
        <v>235.93726080000076</v>
      </c>
      <c r="S6" s="100">
        <f t="shared" si="2"/>
        <v>0.81443750000000015</v>
      </c>
      <c r="T6" s="100">
        <f t="shared" ref="T6:T12" si="8">(E6+(E6+0.15*$C$1*2))/2*0.15*B6</f>
        <v>2.1177450000000002</v>
      </c>
      <c r="U6" s="101">
        <f t="shared" ref="U6:U12" si="9">(E6+(E6+(0.15+D6+0.3)*$C$1*2))/2*(0.15+D6+0.3)*B6-S6-T6</f>
        <v>11.232597499999997</v>
      </c>
      <c r="V6" s="134">
        <f t="shared" ref="V6:V12" si="10">R6-S6-T6-U6</f>
        <v>221.77248080000075</v>
      </c>
    </row>
    <row r="7" spans="1:22" x14ac:dyDescent="0.25">
      <c r="A7" s="95" t="s">
        <v>89</v>
      </c>
      <c r="B7" s="96">
        <f>50-22</f>
        <v>28</v>
      </c>
      <c r="C7" s="97" t="s">
        <v>86</v>
      </c>
      <c r="D7" s="97">
        <v>0.25</v>
      </c>
      <c r="E7" s="98">
        <f t="shared" ref="E7:E12" si="11">0.25+0.5</f>
        <v>0.75</v>
      </c>
      <c r="F7" s="96">
        <v>145.75</v>
      </c>
      <c r="G7" s="97">
        <f t="shared" ref="G7:G12" si="12">F7</f>
        <v>145.75</v>
      </c>
      <c r="H7" s="97">
        <v>141.88999999999999</v>
      </c>
      <c r="I7" s="127">
        <f t="shared" si="3"/>
        <v>3.8600000000000136</v>
      </c>
      <c r="J7" s="99">
        <f t="shared" si="4"/>
        <v>3.8600000000000136</v>
      </c>
      <c r="K7" s="96">
        <v>144.88</v>
      </c>
      <c r="L7" s="97">
        <f t="shared" ref="L7:L12" si="13">K7</f>
        <v>144.88</v>
      </c>
      <c r="M7" s="97">
        <v>141.36000000000001</v>
      </c>
      <c r="N7" s="97">
        <f t="shared" si="0"/>
        <v>3.5199999999999818</v>
      </c>
      <c r="O7" s="98">
        <f t="shared" si="5"/>
        <v>3.5199999999999818</v>
      </c>
      <c r="P7" s="136">
        <f t="shared" si="6"/>
        <v>3.8399999999999976</v>
      </c>
      <c r="Q7" s="128">
        <f t="shared" si="7"/>
        <v>3.6899999999999977</v>
      </c>
      <c r="R7" s="100">
        <f t="shared" si="1"/>
        <v>357.26745599999964</v>
      </c>
      <c r="S7" s="100">
        <f t="shared" si="2"/>
        <v>1.37375</v>
      </c>
      <c r="T7" s="100">
        <f t="shared" si="8"/>
        <v>3.5720999999999998</v>
      </c>
      <c r="U7" s="101">
        <f t="shared" si="9"/>
        <v>18.946549999999995</v>
      </c>
      <c r="V7" s="134">
        <f t="shared" si="10"/>
        <v>333.37505599999969</v>
      </c>
    </row>
    <row r="8" spans="1:22" ht="29.25" customHeight="1" x14ac:dyDescent="0.25">
      <c r="A8" s="95" t="s">
        <v>89</v>
      </c>
      <c r="B8" s="96">
        <v>22</v>
      </c>
      <c r="C8" s="172" t="s">
        <v>135</v>
      </c>
      <c r="D8" s="171">
        <v>0.53</v>
      </c>
      <c r="E8" s="98">
        <f>0.53+0.5</f>
        <v>1.03</v>
      </c>
      <c r="F8" s="96">
        <v>144.88</v>
      </c>
      <c r="G8" s="171">
        <f t="shared" si="12"/>
        <v>144.88</v>
      </c>
      <c r="H8" s="171">
        <v>141.36000000000001</v>
      </c>
      <c r="I8" s="127">
        <f t="shared" ref="I8" si="14">F8-H8</f>
        <v>3.5199999999999818</v>
      </c>
      <c r="J8" s="99">
        <f t="shared" ref="J8" si="15">G8-H8</f>
        <v>3.5199999999999818</v>
      </c>
      <c r="K8" s="96">
        <v>144.19999999999999</v>
      </c>
      <c r="L8" s="171">
        <f t="shared" si="13"/>
        <v>144.19999999999999</v>
      </c>
      <c r="M8" s="171">
        <v>140.94999999999999</v>
      </c>
      <c r="N8" s="171">
        <f t="shared" ref="N8" si="16">K8-M8</f>
        <v>3.25</v>
      </c>
      <c r="O8" s="98">
        <f t="shared" ref="O8" si="17">L8-M8</f>
        <v>3.25</v>
      </c>
      <c r="P8" s="182">
        <f>(N8-I8)/2+I8+0.15+(0.53-0.25)/2</f>
        <v>3.6749999999999909</v>
      </c>
      <c r="Q8" s="128">
        <f t="shared" ref="Q8" si="18">(O8-J8)/2+J8</f>
        <v>3.3849999999999909</v>
      </c>
      <c r="R8" s="100">
        <f t="shared" ref="R8" si="19">((P8*$C$1*2+E8)+E8)/2*P8*B8</f>
        <v>282.34841249999886</v>
      </c>
      <c r="S8" s="100">
        <f t="shared" ref="S8" si="20">0.25*3.14*D8*D8*B8</f>
        <v>4.8511430000000004</v>
      </c>
      <c r="T8" s="100">
        <f t="shared" ref="T8" si="21">(E8+(E8+0.15*$C$1*2))/2*0.15*B8</f>
        <v>3.7306500000000002</v>
      </c>
      <c r="U8" s="101">
        <f t="shared" ref="U8" si="22">(E8+(E8+(0.15+D8+0.3)*$C$1*2))/2*(0.15+D8+0.3)*B8-S8-T8</f>
        <v>27.781303000000005</v>
      </c>
      <c r="V8" s="134">
        <f t="shared" ref="V8" si="23">R8-S8-T8-U8</f>
        <v>245.98531649999885</v>
      </c>
    </row>
    <row r="9" spans="1:22" x14ac:dyDescent="0.25">
      <c r="A9" s="95" t="s">
        <v>90</v>
      </c>
      <c r="B9" s="96">
        <v>18.7</v>
      </c>
      <c r="C9" s="97" t="s">
        <v>86</v>
      </c>
      <c r="D9" s="97">
        <v>0.25</v>
      </c>
      <c r="E9" s="98">
        <f t="shared" si="11"/>
        <v>0.75</v>
      </c>
      <c r="F9" s="96">
        <v>144.19999999999999</v>
      </c>
      <c r="G9" s="97">
        <f t="shared" si="12"/>
        <v>144.19999999999999</v>
      </c>
      <c r="H9" s="97">
        <v>140.94999999999999</v>
      </c>
      <c r="I9" s="97">
        <f t="shared" si="3"/>
        <v>3.25</v>
      </c>
      <c r="J9" s="99">
        <f t="shared" si="4"/>
        <v>3.25</v>
      </c>
      <c r="K9" s="96">
        <v>144.1</v>
      </c>
      <c r="L9" s="97">
        <f t="shared" si="13"/>
        <v>144.1</v>
      </c>
      <c r="M9" s="97">
        <v>140.76</v>
      </c>
      <c r="N9" s="97">
        <f t="shared" si="0"/>
        <v>3.3400000000000034</v>
      </c>
      <c r="O9" s="98">
        <f t="shared" si="5"/>
        <v>3.3400000000000034</v>
      </c>
      <c r="P9" s="136">
        <f t="shared" si="6"/>
        <v>3.4450000000000016</v>
      </c>
      <c r="Q9" s="128">
        <f t="shared" si="7"/>
        <v>3.2950000000000017</v>
      </c>
      <c r="R9" s="100">
        <f t="shared" si="1"/>
        <v>197.01061022500019</v>
      </c>
      <c r="S9" s="100">
        <f t="shared" si="2"/>
        <v>0.91746875000000006</v>
      </c>
      <c r="T9" s="100">
        <f t="shared" si="8"/>
        <v>2.3856525</v>
      </c>
      <c r="U9" s="101">
        <f t="shared" si="9"/>
        <v>12.653588749999997</v>
      </c>
      <c r="V9" s="134">
        <f t="shared" si="10"/>
        <v>181.05390022500018</v>
      </c>
    </row>
    <row r="10" spans="1:22" x14ac:dyDescent="0.25">
      <c r="A10" s="95" t="s">
        <v>91</v>
      </c>
      <c r="B10" s="96">
        <v>15</v>
      </c>
      <c r="C10" s="102" t="s">
        <v>86</v>
      </c>
      <c r="D10" s="102">
        <v>0.25</v>
      </c>
      <c r="E10" s="98">
        <f t="shared" si="11"/>
        <v>0.75</v>
      </c>
      <c r="F10" s="123">
        <v>144.1</v>
      </c>
      <c r="G10" s="97">
        <f t="shared" si="12"/>
        <v>144.1</v>
      </c>
      <c r="H10" s="124">
        <v>140.76</v>
      </c>
      <c r="I10" s="124">
        <f t="shared" si="3"/>
        <v>3.3400000000000034</v>
      </c>
      <c r="J10" s="125">
        <f t="shared" si="4"/>
        <v>3.3400000000000034</v>
      </c>
      <c r="K10" s="123">
        <v>143</v>
      </c>
      <c r="L10" s="97">
        <f t="shared" si="13"/>
        <v>143</v>
      </c>
      <c r="M10" s="124">
        <v>140.6</v>
      </c>
      <c r="N10" s="124">
        <f t="shared" si="0"/>
        <v>2.4000000000000057</v>
      </c>
      <c r="O10" s="133">
        <f t="shared" si="5"/>
        <v>2.4000000000000057</v>
      </c>
      <c r="P10" s="136">
        <f t="shared" si="6"/>
        <v>3.0200000000000045</v>
      </c>
      <c r="Q10" s="128">
        <f t="shared" si="7"/>
        <v>2.8700000000000045</v>
      </c>
      <c r="R10" s="100">
        <f t="shared" si="1"/>
        <v>125.63502000000034</v>
      </c>
      <c r="S10" s="100">
        <f t="shared" si="2"/>
        <v>0.73593750000000002</v>
      </c>
      <c r="T10" s="100">
        <f t="shared" si="8"/>
        <v>1.9136249999999999</v>
      </c>
      <c r="U10" s="101">
        <f t="shared" si="9"/>
        <v>10.149937499999998</v>
      </c>
      <c r="V10" s="134">
        <f t="shared" si="10"/>
        <v>112.83552000000034</v>
      </c>
    </row>
    <row r="11" spans="1:22" x14ac:dyDescent="0.25">
      <c r="A11" s="95" t="s">
        <v>92</v>
      </c>
      <c r="B11" s="96">
        <v>35.700000000000003</v>
      </c>
      <c r="C11" s="102" t="s">
        <v>86</v>
      </c>
      <c r="D11" s="102">
        <v>0.25</v>
      </c>
      <c r="E11" s="98">
        <f t="shared" si="11"/>
        <v>0.75</v>
      </c>
      <c r="F11" s="96">
        <v>143</v>
      </c>
      <c r="G11" s="97">
        <f t="shared" si="12"/>
        <v>143</v>
      </c>
      <c r="H11" s="97">
        <v>140.6</v>
      </c>
      <c r="I11" s="97">
        <f t="shared" si="3"/>
        <v>2.4000000000000057</v>
      </c>
      <c r="J11" s="99">
        <f t="shared" si="4"/>
        <v>2.4000000000000057</v>
      </c>
      <c r="K11" s="96">
        <v>142.86000000000001</v>
      </c>
      <c r="L11" s="97">
        <f t="shared" si="13"/>
        <v>142.86000000000001</v>
      </c>
      <c r="M11" s="97">
        <v>140.22999999999999</v>
      </c>
      <c r="N11" s="97">
        <f t="shared" si="0"/>
        <v>2.6300000000000239</v>
      </c>
      <c r="O11" s="98">
        <f t="shared" si="5"/>
        <v>2.6300000000000239</v>
      </c>
      <c r="P11" s="136">
        <f t="shared" si="6"/>
        <v>2.6650000000000147</v>
      </c>
      <c r="Q11" s="128">
        <f t="shared" si="7"/>
        <v>2.5150000000000148</v>
      </c>
      <c r="R11" s="100">
        <f t="shared" si="1"/>
        <v>241.2334947750023</v>
      </c>
      <c r="S11" s="100">
        <f t="shared" si="2"/>
        <v>1.7515312500000002</v>
      </c>
      <c r="T11" s="100">
        <f t="shared" si="8"/>
        <v>4.5544275000000001</v>
      </c>
      <c r="U11" s="100">
        <f t="shared" si="9"/>
        <v>24.156851249999999</v>
      </c>
      <c r="V11" s="134">
        <f t="shared" si="10"/>
        <v>210.77068477500231</v>
      </c>
    </row>
    <row r="12" spans="1:22" ht="15.75" thickBot="1" x14ac:dyDescent="0.3">
      <c r="A12" s="95" t="s">
        <v>93</v>
      </c>
      <c r="B12" s="96">
        <v>2.8</v>
      </c>
      <c r="C12" s="102" t="s">
        <v>86</v>
      </c>
      <c r="D12" s="102">
        <v>0.25</v>
      </c>
      <c r="E12" s="98">
        <f t="shared" si="11"/>
        <v>0.75</v>
      </c>
      <c r="F12" s="103">
        <v>142.86000000000001</v>
      </c>
      <c r="G12" s="104">
        <f t="shared" si="12"/>
        <v>142.86000000000001</v>
      </c>
      <c r="H12" s="104">
        <v>140.22999999999999</v>
      </c>
      <c r="I12" s="104">
        <f t="shared" si="3"/>
        <v>2.6300000000000239</v>
      </c>
      <c r="J12" s="120">
        <f t="shared" si="4"/>
        <v>2.6300000000000239</v>
      </c>
      <c r="K12" s="103">
        <v>142.6</v>
      </c>
      <c r="L12" s="104">
        <f t="shared" si="13"/>
        <v>142.6</v>
      </c>
      <c r="M12" s="104">
        <v>140.19999999999999</v>
      </c>
      <c r="N12" s="104">
        <f t="shared" si="0"/>
        <v>2.4000000000000057</v>
      </c>
      <c r="O12" s="119">
        <f t="shared" si="5"/>
        <v>2.4000000000000057</v>
      </c>
      <c r="P12" s="137">
        <f t="shared" si="6"/>
        <v>2.6650000000000147</v>
      </c>
      <c r="Q12" s="129">
        <f t="shared" si="7"/>
        <v>2.5150000000000148</v>
      </c>
      <c r="R12" s="105">
        <f t="shared" si="1"/>
        <v>18.920274100000178</v>
      </c>
      <c r="S12" s="105">
        <f t="shared" si="2"/>
        <v>0.137375</v>
      </c>
      <c r="T12" s="105">
        <f t="shared" si="8"/>
        <v>0.35720999999999997</v>
      </c>
      <c r="U12" s="105">
        <f t="shared" si="9"/>
        <v>1.8946549999999995</v>
      </c>
      <c r="V12" s="135">
        <f t="shared" si="10"/>
        <v>16.531034100000181</v>
      </c>
    </row>
    <row r="13" spans="1:22" x14ac:dyDescent="0.25">
      <c r="A13" s="108"/>
      <c r="B13" s="109"/>
      <c r="C13" s="109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1">
        <f>SUM(R5:R12)</f>
        <v>1608.8983784000025</v>
      </c>
      <c r="S13" s="144"/>
      <c r="T13" s="138">
        <f>SUM(T5:T12)</f>
        <v>19.970947499999998</v>
      </c>
      <c r="U13" s="111">
        <f>SUM(U5:U12)</f>
        <v>113.92043924999999</v>
      </c>
      <c r="V13" s="138">
        <f>SUM(V5:V12)</f>
        <v>1463.9101924000024</v>
      </c>
    </row>
    <row r="14" spans="1:22" x14ac:dyDescent="0.25">
      <c r="A14" s="147" t="s">
        <v>86</v>
      </c>
      <c r="C14" s="115">
        <f>SUMIF($C$5:$C$12,A14,$B$5:$B$12)</f>
        <v>127.3</v>
      </c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6"/>
      <c r="S14" s="112"/>
      <c r="U14" s="112"/>
    </row>
    <row r="15" spans="1:22" x14ac:dyDescent="0.25">
      <c r="A15" s="117"/>
      <c r="C15" s="115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6"/>
      <c r="S15" s="112"/>
      <c r="U15" s="112"/>
    </row>
    <row r="16" spans="1:22" ht="15.75" thickBot="1" x14ac:dyDescent="0.3">
      <c r="A16" s="117"/>
      <c r="C16" s="115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6"/>
      <c r="S16" s="112"/>
      <c r="U16" s="112"/>
    </row>
    <row r="17" spans="1:22" ht="15" customHeight="1" x14ac:dyDescent="0.25">
      <c r="A17" s="213" t="s">
        <v>68</v>
      </c>
      <c r="B17" s="213" t="s">
        <v>69</v>
      </c>
      <c r="C17" s="213" t="s">
        <v>70</v>
      </c>
      <c r="D17" s="215" t="s">
        <v>71</v>
      </c>
      <c r="E17" s="217" t="s">
        <v>72</v>
      </c>
      <c r="F17" s="218" t="s">
        <v>73</v>
      </c>
      <c r="G17" s="219"/>
      <c r="H17" s="219"/>
      <c r="I17" s="219"/>
      <c r="J17" s="220"/>
      <c r="K17" s="218" t="s">
        <v>74</v>
      </c>
      <c r="L17" s="219"/>
      <c r="M17" s="219"/>
      <c r="N17" s="219"/>
      <c r="O17" s="219"/>
      <c r="P17" s="221" t="s">
        <v>75</v>
      </c>
      <c r="Q17" s="201" t="s">
        <v>76</v>
      </c>
      <c r="R17" s="203" t="s">
        <v>77</v>
      </c>
      <c r="S17" s="205" t="s">
        <v>78</v>
      </c>
      <c r="T17" s="203" t="s">
        <v>79</v>
      </c>
      <c r="U17" s="207" t="s">
        <v>94</v>
      </c>
      <c r="V17" s="209" t="s">
        <v>95</v>
      </c>
    </row>
    <row r="18" spans="1:22" ht="45" customHeight="1" thickBot="1" x14ac:dyDescent="0.3">
      <c r="A18" s="214"/>
      <c r="B18" s="214"/>
      <c r="C18" s="214"/>
      <c r="D18" s="216"/>
      <c r="E18" s="211"/>
      <c r="F18" s="86" t="s">
        <v>80</v>
      </c>
      <c r="G18" s="87" t="s">
        <v>81</v>
      </c>
      <c r="H18" s="87" t="s">
        <v>82</v>
      </c>
      <c r="I18" s="88" t="s">
        <v>83</v>
      </c>
      <c r="J18" s="89" t="s">
        <v>84</v>
      </c>
      <c r="K18" s="86" t="s">
        <v>80</v>
      </c>
      <c r="L18" s="87" t="s">
        <v>81</v>
      </c>
      <c r="M18" s="87" t="s">
        <v>82</v>
      </c>
      <c r="N18" s="88" t="s">
        <v>83</v>
      </c>
      <c r="O18" s="130" t="s">
        <v>84</v>
      </c>
      <c r="P18" s="222"/>
      <c r="Q18" s="202"/>
      <c r="R18" s="204"/>
      <c r="S18" s="206"/>
      <c r="T18" s="204"/>
      <c r="U18" s="208"/>
      <c r="V18" s="210"/>
    </row>
    <row r="19" spans="1:22" x14ac:dyDescent="0.25">
      <c r="A19" s="90" t="s">
        <v>97</v>
      </c>
      <c r="B19" s="91">
        <v>17.8</v>
      </c>
      <c r="C19" s="92" t="s">
        <v>96</v>
      </c>
      <c r="D19" s="92">
        <v>0.16</v>
      </c>
      <c r="E19" s="93">
        <f>0.25+0.4</f>
        <v>0.65</v>
      </c>
      <c r="F19" s="91">
        <v>145.01</v>
      </c>
      <c r="G19" s="92">
        <f>F19</f>
        <v>145.01</v>
      </c>
      <c r="H19" s="92">
        <v>142.01</v>
      </c>
      <c r="I19" s="92">
        <f>F19-H19</f>
        <v>3</v>
      </c>
      <c r="J19" s="94">
        <f>G19-H19</f>
        <v>3</v>
      </c>
      <c r="K19" s="91">
        <v>144</v>
      </c>
      <c r="L19" s="92">
        <f>K19</f>
        <v>144</v>
      </c>
      <c r="M19" s="92">
        <v>141.5</v>
      </c>
      <c r="N19" s="92">
        <f t="shared" ref="N19:N20" si="24">K19-M19</f>
        <v>2.5</v>
      </c>
      <c r="O19" s="131">
        <f>L19-M19</f>
        <v>2.5</v>
      </c>
      <c r="P19" s="139">
        <f>(N19-I19)/2+I19+0.15</f>
        <v>2.9</v>
      </c>
      <c r="Q19" s="140">
        <f>(O19-J19)/2+J19</f>
        <v>2.75</v>
      </c>
      <c r="R19" s="141">
        <f t="shared" ref="R19:R20" si="25">((P19*$C$1*2+E19)+E19)/2*P19*B19</f>
        <v>133.85066000000003</v>
      </c>
      <c r="S19" s="141">
        <f t="shared" ref="S19:S20" si="26">0.25*3.14*D19*D19*B19</f>
        <v>0.35770880000000005</v>
      </c>
      <c r="T19" s="141">
        <f>(E19+(E19+0.15*$C$1*2))/2*0.15*B19</f>
        <v>2.0038349999999996</v>
      </c>
      <c r="U19" s="143">
        <f>(E19+(E19+(0.15+D19+0.3)*$C$1*2))/2*(0.15+D19+0.3)*B19-S19-T19</f>
        <v>9.1338208000000023</v>
      </c>
      <c r="V19" s="142">
        <f>R19-S19-T19-U19</f>
        <v>122.35529540000002</v>
      </c>
    </row>
    <row r="20" spans="1:22" ht="15.75" thickBot="1" x14ac:dyDescent="0.3">
      <c r="A20" s="107" t="s">
        <v>98</v>
      </c>
      <c r="B20" s="103">
        <v>35</v>
      </c>
      <c r="C20" s="104" t="s">
        <v>96</v>
      </c>
      <c r="D20" s="104">
        <v>0.16</v>
      </c>
      <c r="E20" s="119">
        <f>0.25+0.4</f>
        <v>0.65</v>
      </c>
      <c r="F20" s="103">
        <v>144</v>
      </c>
      <c r="G20" s="104">
        <f>F20</f>
        <v>144</v>
      </c>
      <c r="H20" s="104">
        <v>141.5</v>
      </c>
      <c r="I20" s="104">
        <f t="shared" ref="I20" si="27">F20-H20</f>
        <v>2.5</v>
      </c>
      <c r="J20" s="120">
        <f t="shared" ref="J20" si="28">G20-H20</f>
        <v>2.5</v>
      </c>
      <c r="K20" s="103">
        <v>143.04</v>
      </c>
      <c r="L20" s="104">
        <f>K20</f>
        <v>143.04</v>
      </c>
      <c r="M20" s="104">
        <v>140.52000000000001</v>
      </c>
      <c r="N20" s="145">
        <f t="shared" si="24"/>
        <v>2.5199999999999818</v>
      </c>
      <c r="O20" s="146">
        <f t="shared" ref="O20" si="29">L20-M20</f>
        <v>2.5199999999999818</v>
      </c>
      <c r="P20" s="137">
        <f t="shared" ref="P20" si="30">(N20-I20)/2+I20+0.15</f>
        <v>2.6599999999999908</v>
      </c>
      <c r="Q20" s="129">
        <f t="shared" ref="Q20" si="31">(O20-J20)/2+J20</f>
        <v>2.5099999999999909</v>
      </c>
      <c r="R20" s="105">
        <f t="shared" si="25"/>
        <v>226.43781999999865</v>
      </c>
      <c r="S20" s="105">
        <f t="shared" si="26"/>
        <v>0.7033600000000001</v>
      </c>
      <c r="T20" s="105">
        <f t="shared" ref="T20" si="32">(E20+(E20+0.15*$C$1*2))/2*0.15*B20</f>
        <v>3.9401249999999992</v>
      </c>
      <c r="U20" s="106">
        <f t="shared" ref="U20" si="33">(E20+(E20+(0.15+D20+0.3)*$C$1*2))/2*(0.15+D20+0.3)*B20-S20-T20</f>
        <v>17.959760000000003</v>
      </c>
      <c r="V20" s="135">
        <f t="shared" ref="V20" si="34">R20-S20-T20-U20</f>
        <v>203.83457499999867</v>
      </c>
    </row>
    <row r="21" spans="1:22" x14ac:dyDescent="0.25">
      <c r="R21" s="138">
        <f>SUM(R19:R20)</f>
        <v>360.28847999999869</v>
      </c>
      <c r="S21" s="138"/>
      <c r="T21" s="138">
        <f t="shared" ref="T21:V21" si="35">SUM(T19:T20)</f>
        <v>5.9439599999999988</v>
      </c>
      <c r="U21" s="138">
        <f t="shared" si="35"/>
        <v>27.093580800000005</v>
      </c>
      <c r="V21" s="138">
        <f t="shared" si="35"/>
        <v>326.18987039999865</v>
      </c>
    </row>
    <row r="22" spans="1:22" x14ac:dyDescent="0.25">
      <c r="A22" s="148" t="s">
        <v>96</v>
      </c>
      <c r="C22" s="115">
        <f>SUMIF($C$19:$C$20,A22,$B$19:$B$20)</f>
        <v>52.8</v>
      </c>
    </row>
  </sheetData>
  <mergeCells count="28">
    <mergeCell ref="T3:T4"/>
    <mergeCell ref="A3:A4"/>
    <mergeCell ref="B3:B4"/>
    <mergeCell ref="C3:C4"/>
    <mergeCell ref="D3:D4"/>
    <mergeCell ref="E3:E4"/>
    <mergeCell ref="F3:J3"/>
    <mergeCell ref="V17:V18"/>
    <mergeCell ref="U3:U4"/>
    <mergeCell ref="V3:V4"/>
    <mergeCell ref="A17:A18"/>
    <mergeCell ref="B17:B18"/>
    <mergeCell ref="C17:C18"/>
    <mergeCell ref="D17:D18"/>
    <mergeCell ref="E17:E18"/>
    <mergeCell ref="F17:J17"/>
    <mergeCell ref="K17:O17"/>
    <mergeCell ref="P17:P18"/>
    <mergeCell ref="K3:O3"/>
    <mergeCell ref="P3:P4"/>
    <mergeCell ref="Q3:Q4"/>
    <mergeCell ref="R3:R4"/>
    <mergeCell ref="S3:S4"/>
    <mergeCell ref="Q17:Q18"/>
    <mergeCell ref="R17:R18"/>
    <mergeCell ref="S17:S18"/>
    <mergeCell ref="T17:T18"/>
    <mergeCell ref="U17:U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C1" workbookViewId="0">
      <selection activeCell="U23" sqref="U23"/>
    </sheetView>
  </sheetViews>
  <sheetFormatPr defaultRowHeight="15" x14ac:dyDescent="0.25"/>
  <cols>
    <col min="1" max="1" width="19.5703125" customWidth="1"/>
    <col min="2" max="2" width="26.5703125" customWidth="1"/>
    <col min="7" max="7" width="9.5703125" customWidth="1"/>
    <col min="8" max="8" width="10.42578125" customWidth="1"/>
    <col min="12" max="12" width="10.85546875" customWidth="1"/>
    <col min="15" max="16" width="11.7109375" customWidth="1"/>
    <col min="17" max="17" width="22.42578125" customWidth="1"/>
    <col min="18" max="19" width="13.7109375" customWidth="1"/>
    <col min="20" max="20" width="13.140625" customWidth="1"/>
    <col min="21" max="21" width="20.42578125" customWidth="1"/>
    <col min="22" max="22" width="17.5703125" customWidth="1"/>
    <col min="23" max="23" width="11.42578125" customWidth="1"/>
    <col min="24" max="24" width="15.5703125" customWidth="1"/>
  </cols>
  <sheetData>
    <row r="1" spans="1:24" x14ac:dyDescent="0.25">
      <c r="J1" s="84" t="s">
        <v>67</v>
      </c>
      <c r="K1">
        <v>0.67</v>
      </c>
    </row>
    <row r="2" spans="1:24" x14ac:dyDescent="0.25">
      <c r="J2" s="84" t="s">
        <v>99</v>
      </c>
      <c r="K2">
        <v>0.6</v>
      </c>
    </row>
    <row r="3" spans="1:24" ht="15.75" thickBot="1" x14ac:dyDescent="0.3"/>
    <row r="4" spans="1:24" ht="30.75" thickBot="1" x14ac:dyDescent="0.3">
      <c r="A4" s="228" t="s">
        <v>100</v>
      </c>
      <c r="B4" s="230" t="s">
        <v>101</v>
      </c>
      <c r="C4" s="149" t="s">
        <v>102</v>
      </c>
      <c r="D4" s="150" t="s">
        <v>103</v>
      </c>
      <c r="E4" s="150" t="s">
        <v>104</v>
      </c>
      <c r="F4" s="150" t="s">
        <v>105</v>
      </c>
      <c r="G4" s="150" t="s">
        <v>106</v>
      </c>
      <c r="H4" s="150" t="s">
        <v>107</v>
      </c>
      <c r="I4" s="150" t="s">
        <v>108</v>
      </c>
      <c r="J4" s="150" t="s">
        <v>109</v>
      </c>
      <c r="K4" s="150" t="s">
        <v>110</v>
      </c>
      <c r="L4" s="150" t="s">
        <v>111</v>
      </c>
      <c r="M4" s="150" t="s">
        <v>123</v>
      </c>
      <c r="N4" s="150" t="s">
        <v>112</v>
      </c>
      <c r="O4" s="151" t="s">
        <v>113</v>
      </c>
      <c r="P4" s="151" t="s">
        <v>124</v>
      </c>
      <c r="Q4" s="232" t="s">
        <v>114</v>
      </c>
      <c r="R4" s="234" t="s">
        <v>115</v>
      </c>
      <c r="S4" s="215" t="s">
        <v>116</v>
      </c>
      <c r="T4" s="225" t="s">
        <v>117</v>
      </c>
      <c r="U4" s="225" t="s">
        <v>77</v>
      </c>
      <c r="V4" s="225" t="s">
        <v>118</v>
      </c>
      <c r="W4" s="225" t="s">
        <v>119</v>
      </c>
      <c r="X4" s="225" t="s">
        <v>120</v>
      </c>
    </row>
    <row r="5" spans="1:24" ht="15.75" thickBot="1" x14ac:dyDescent="0.3">
      <c r="A5" s="229"/>
      <c r="B5" s="231"/>
      <c r="C5" s="226" t="s">
        <v>121</v>
      </c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33"/>
      <c r="R5" s="234"/>
      <c r="S5" s="216"/>
      <c r="T5" s="225"/>
      <c r="U5" s="225"/>
      <c r="V5" s="225"/>
      <c r="W5" s="225"/>
      <c r="X5" s="225"/>
    </row>
    <row r="6" spans="1:24" ht="15.75" thickBot="1" x14ac:dyDescent="0.3">
      <c r="A6" s="229"/>
      <c r="B6" s="231"/>
      <c r="C6" s="152">
        <v>1.5</v>
      </c>
      <c r="D6" s="153">
        <v>2</v>
      </c>
      <c r="E6" s="153">
        <v>1.1599999999999999</v>
      </c>
      <c r="F6" s="153">
        <v>1.1599999999999999</v>
      </c>
      <c r="G6" s="153">
        <v>1.1599999999999999</v>
      </c>
      <c r="H6" s="153">
        <v>1.68</v>
      </c>
      <c r="I6" s="153">
        <v>1.68</v>
      </c>
      <c r="J6" s="153">
        <v>1.1599999999999999</v>
      </c>
      <c r="K6" s="153">
        <v>1.68</v>
      </c>
      <c r="L6" s="153">
        <f>1160/1000</f>
        <v>1.1599999999999999</v>
      </c>
      <c r="M6" s="153">
        <v>0.84</v>
      </c>
      <c r="N6" s="153">
        <v>0.84</v>
      </c>
      <c r="O6" s="154">
        <v>0.84</v>
      </c>
      <c r="P6" s="154">
        <v>0.84</v>
      </c>
      <c r="Q6" s="233"/>
      <c r="R6" s="234"/>
      <c r="S6" s="216"/>
      <c r="T6" s="225"/>
      <c r="U6" s="225"/>
      <c r="V6" s="225"/>
      <c r="W6" s="225"/>
      <c r="X6" s="225"/>
    </row>
    <row r="7" spans="1:24" ht="15.75" thickBot="1" x14ac:dyDescent="0.3">
      <c r="A7" s="229"/>
      <c r="B7" s="231"/>
      <c r="C7" s="226" t="s">
        <v>122</v>
      </c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33"/>
      <c r="R7" s="234"/>
      <c r="S7" s="216"/>
      <c r="T7" s="225"/>
      <c r="U7" s="225"/>
      <c r="V7" s="225"/>
      <c r="W7" s="225"/>
      <c r="X7" s="225"/>
    </row>
    <row r="8" spans="1:24" ht="15.75" thickBot="1" x14ac:dyDescent="0.3">
      <c r="A8" s="229"/>
      <c r="B8" s="231"/>
      <c r="C8" s="152">
        <v>0.1</v>
      </c>
      <c r="D8" s="153">
        <v>0.12</v>
      </c>
      <c r="E8" s="153">
        <v>0.28999999999999998</v>
      </c>
      <c r="F8" s="153">
        <v>0.59</v>
      </c>
      <c r="G8" s="153">
        <v>0.89</v>
      </c>
      <c r="H8" s="153">
        <v>0.59</v>
      </c>
      <c r="I8" s="153">
        <v>0.89</v>
      </c>
      <c r="J8" s="153">
        <v>0.15</v>
      </c>
      <c r="K8" s="153">
        <v>0.15</v>
      </c>
      <c r="L8" s="153">
        <f>120/1000</f>
        <v>0.12</v>
      </c>
      <c r="M8" s="153">
        <v>7.0000000000000007E-2</v>
      </c>
      <c r="N8" s="155">
        <v>0.28999999999999998</v>
      </c>
      <c r="O8" s="154">
        <v>0.59</v>
      </c>
      <c r="P8" s="154">
        <v>0.89</v>
      </c>
      <c r="Q8" s="233"/>
      <c r="R8" s="235"/>
      <c r="S8" s="216"/>
      <c r="T8" s="215"/>
      <c r="U8" s="215"/>
      <c r="V8" s="215"/>
      <c r="W8" s="215"/>
      <c r="X8" s="215"/>
    </row>
    <row r="9" spans="1:24" s="167" customFormat="1" x14ac:dyDescent="0.25">
      <c r="A9" s="165" t="s">
        <v>125</v>
      </c>
      <c r="B9" s="161">
        <v>1</v>
      </c>
      <c r="C9" s="161">
        <v>1</v>
      </c>
      <c r="D9" s="161"/>
      <c r="E9" s="161"/>
      <c r="F9" s="161">
        <v>2</v>
      </c>
      <c r="G9" s="161">
        <v>1</v>
      </c>
      <c r="H9" s="161"/>
      <c r="I9" s="161"/>
      <c r="J9" s="161">
        <v>1</v>
      </c>
      <c r="K9" s="161"/>
      <c r="L9" s="161"/>
      <c r="M9" s="161">
        <v>3</v>
      </c>
      <c r="N9" s="161"/>
      <c r="O9" s="161"/>
      <c r="P9" s="166"/>
      <c r="Q9" s="175">
        <f>C9*0.18+D9*0.38+E9*0.08+F9*0.16+G9*0.24+H9*0.265+I9*0.4+J9*0.1+K9*0.27+L9*0.09+M9*0.02+N9*0.05+O9*0.098+P9*0.015</f>
        <v>0.89999999999999991</v>
      </c>
      <c r="R9" s="173">
        <f>$C$8*C9+$D$8*D9+$E$8*E9+$F$8*F9+$G$8*G9+$H$8*H9+$I$8*I9+$J$8*J9+$K$8*K9+$L$8*L9+$M$8*M9+$N$8*N9+$O$8*O9+$P$8*P9+0.1</f>
        <v>2.63</v>
      </c>
      <c r="S9" s="161">
        <f>($C$6+$K$2*2)*($C$6+$K$2*2)</f>
        <v>7.2900000000000009</v>
      </c>
      <c r="T9" s="162">
        <f>(($C$6+$K$2*2)+$K$1*R9*2)*(($C$6+$K$2*2)+$K$1*R9*2)</f>
        <v>38.740665639999996</v>
      </c>
      <c r="U9" s="140">
        <f t="shared" ref="U9" si="0">1/3*(S9+T9+SQRT(S9*T9))</f>
        <v>20.94533521333333</v>
      </c>
      <c r="V9" s="140">
        <f>0.25*3.14*$C$6*$C$6*C9+(0.25*3.14*$C$6*$C$6-0.25*3.14*1.16*1.16)*C9+
0.25*3.14*$D$6*$D$6*D9+(0.25*3.14*$D$6*$D$6-0.25*3.14*1.68*1.68)*D9+
3.14*$C$6*$C$8*C9+3.14*$D$6*$D$8*D9+3.14*$E$6*($E$8+0.01)*E9+3.14*$F$6*($F$8+0.01)*F9+3.14*$G$6*($G$8+0.01)*G9+3.14*$H$6*($H$8+0.01)*H9+3.14*$I$6*($I$8+0.01)*I9+3.14*$J$6*($J$8+0.01)*J9+3.14*$K$6*($K$8+0.01)*K9+3.14*$L$6*($L$8+0.01)*L9+3.14*$M$6*($M$8+0.01)*M9+3.14*$N$6*($N$8+0.01)*N9+3.14*$O$6*($O$8+0.01)*O9+3.14*$P$6*($P$8+0.01)*P9+
(0.25*3.14*$J$6*$J$6-0.25*3.14*0.84*0.84)*J9+
(0.25*3.14*$K$6*$K$6-0.25*3.14*0.84*0.84)*K9</f>
        <v>12.314451999999999</v>
      </c>
      <c r="W9" s="141">
        <f>0.25*3.14*$C$6*$C$6*$C$8*C9+0.25*3.14*$D$6*$D$6*$D$8*D9+0.25*3.14*$E$6*$E$6*($E$8+0.01)*E9+0.25*3.14*$F$6*$F$6*($F$8+0.01)*F9+0.25*3.14*$G$6*$G$6*($G$8+0.01)*G9+0.25*3.14*$H$6*$H$6*($H$8+0.01)*H9+0.25*3.14*$I$6*$I$6*($I$8+0.01)*I9+0.25*3.14*$J$6*$J$6*($J$8+0.01)*J9+0.25*3.14*$K$6*$K$6*($K$8+0.01)*K9+0.25*3.14*$L$6*$L$6*($L$8+0.01)*L9+0.25*3.14*$M$6*$M$6*($M$8+0.01)*M9+0.25*3.14*$N$6*$N$6*($N$8+0.01)*N9+0.25*3.14*$O$6*$O$6*($O$8+0.01)*O9+0.25*3.14*$P$6*$P$6*($P$8+0.01)*P9</f>
        <v>2.6967889999999999</v>
      </c>
      <c r="X9" s="142">
        <f>U9-W9</f>
        <v>18.248546213333331</v>
      </c>
    </row>
    <row r="10" spans="1:24" x14ac:dyDescent="0.25">
      <c r="A10" s="96"/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98"/>
      <c r="Q10" s="176"/>
      <c r="R10" s="118"/>
      <c r="S10" s="127"/>
      <c r="T10" s="156"/>
      <c r="U10" s="128"/>
      <c r="V10" s="100"/>
      <c r="W10" s="100"/>
      <c r="X10" s="134"/>
    </row>
    <row r="11" spans="1:24" x14ac:dyDescent="0.25">
      <c r="A11" s="96"/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98"/>
      <c r="Q11" s="176"/>
      <c r="R11" s="118"/>
      <c r="S11" s="127"/>
      <c r="T11" s="156"/>
      <c r="U11" s="128"/>
      <c r="V11" s="100"/>
      <c r="W11" s="100"/>
      <c r="X11" s="134"/>
    </row>
    <row r="12" spans="1:24" ht="15.75" thickBot="1" x14ac:dyDescent="0.3">
      <c r="A12" s="103"/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19"/>
      <c r="Q12" s="177"/>
      <c r="R12" s="174"/>
      <c r="S12" s="145"/>
      <c r="T12" s="158"/>
      <c r="U12" s="129"/>
      <c r="V12" s="105"/>
      <c r="W12" s="105"/>
      <c r="X12" s="135"/>
    </row>
    <row r="13" spans="1:24" x14ac:dyDescent="0.25">
      <c r="A13" s="114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26"/>
      <c r="R13" s="114"/>
      <c r="S13" s="109"/>
      <c r="T13" s="159"/>
      <c r="U13" s="111">
        <f>SUM(U9:U12)</f>
        <v>20.94533521333333</v>
      </c>
      <c r="V13" s="126"/>
      <c r="W13" s="126"/>
      <c r="X13" s="160">
        <f>SUM(X9:X12)</f>
        <v>18.248546213333331</v>
      </c>
    </row>
    <row r="14" spans="1:24" ht="15.75" thickBot="1" x14ac:dyDescent="0.3">
      <c r="A14" s="114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26"/>
      <c r="R14" s="114"/>
      <c r="S14" s="109"/>
      <c r="T14" s="159"/>
      <c r="U14" s="113"/>
      <c r="V14" s="126"/>
      <c r="W14" s="126"/>
      <c r="X14" s="126"/>
    </row>
    <row r="15" spans="1:24" x14ac:dyDescent="0.25">
      <c r="A15" s="91" t="s">
        <v>126</v>
      </c>
      <c r="B15" s="169">
        <v>1.5</v>
      </c>
      <c r="C15" s="169"/>
      <c r="D15" s="169">
        <v>1</v>
      </c>
      <c r="E15" s="169"/>
      <c r="F15" s="169"/>
      <c r="G15" s="169"/>
      <c r="H15" s="169">
        <v>1</v>
      </c>
      <c r="I15" s="169">
        <v>3</v>
      </c>
      <c r="J15" s="169"/>
      <c r="K15" s="169">
        <v>1</v>
      </c>
      <c r="L15" s="169"/>
      <c r="M15" s="169">
        <v>2</v>
      </c>
      <c r="N15" s="169">
        <v>1</v>
      </c>
      <c r="O15" s="169"/>
      <c r="P15" s="93"/>
      <c r="Q15" s="180">
        <f>C15*0.18+D15*0.38+E15*0.08+F15*0.16+G15*0.24+H15*0.265+I15*0.4+J15*0.1+K15*0.27+L15*0.09+M15*0.02+N15*0.05+O15*0.098+P15*0.015</f>
        <v>2.2050000000000001</v>
      </c>
      <c r="R15" s="165">
        <f>$C$8*C15+$D$8*D15+$E$8*E15+$F$8*F15+$G$8*G15+$H$8*H15+$I$8*I15+$J$8*J15+$K$8*K15+$L$8*L15+$M$8*M15+$N$8*N15+$O$8*O15+$P$8*P15+0.1</f>
        <v>4.0599999999999996</v>
      </c>
      <c r="S15" s="161">
        <f>($D$6+$K$2*2)*($D$6+$K$2*2)</f>
        <v>10.240000000000002</v>
      </c>
      <c r="T15" s="162">
        <f>(($D$6+$K$2*2)+$K$1*R15*2)*(($D$6+$K$2*2)+$K$1*R15*2)</f>
        <v>74.656512159999991</v>
      </c>
      <c r="U15" s="140">
        <f t="shared" ref="U15" si="1">1/3*(S15+T15+SQRT(S15*T15))</f>
        <v>37.515264053333325</v>
      </c>
      <c r="V15" s="140">
        <f>0.25*3.14*$C$6*$C$6*C15+(0.25*3.14*$C$6*$C$6-0.25*3.14*1.16*1.16)*C15+
0.25*3.14*$D$6*$D$6*D15+(0.25*3.14*$D$6*$D$6-0.25*3.14*1.68*1.68)*D15+
3.14*$C$6*$C$8*C15+3.14*$D$6*$D$8*D15+3.14*$E$6*($E$8+0.01)*E15+3.14*$F$6*($F$8+0.01)*F15+3.14*$G$6*($G$8+0.01)*G15+3.14*$H$6*($H$8+0.01)*H15+3.14*$I$6*($I$8+0.01)*I15+3.14*$J$6*($J$8+0.01)*J15+3.14*$K$6*($K$8+0.01)*K15+3.14*$L$6*($L$8+0.01)*L15+3.14*$M$6*($M$8+0.01)*M15+3.14*$N$6*($N$8+0.01)*N15+3.14*$O$6*($O$8+0.01)*O15+3.14*$P$6*($P$8+0.01)*P15+
(0.25*3.14*$J$6*$J$6-0.25*3.14*0.84*0.84)*J15+
(0.25*3.14*$K$6*$K$6-0.25*3.14*0.84*0.84)*K15</f>
        <v>25.945191999999999</v>
      </c>
      <c r="W15" s="141">
        <f>0.25*3.14*$C$6*$C$6*$C$8*C15+0.25*3.14*$D$6*$D$6*$D$8*D15+0.25*3.14*$E$6*$E$6*($E$8+0.01)*E15+0.25*3.14*$F$6*$F$6*($F$8+0.01)*F15+0.25*3.14*$G$6*$G$6*($G$8+0.01)*G15+0.25*3.14*$H$6*$H$6*($H$8+0.01)*H15+0.25*3.14*$I$6*$I$6*($I$8+0.01)*I15+0.25*3.14*$J$6*$J$6*($J$8+0.01)*J15+0.25*3.14*$K$6*$K$6*($K$8+0.01)*K15+0.25*3.14*$L$6*$L$6*($L$8+0.01)*L15+0.25*3.14*$M$6*$M$6*($M$8+0.01)*M15+0.25*3.14*$N$6*$N$6*($N$8+0.01)*N15+0.25*3.14*$O$6*$O$6*($O$8+0.01)*O15+0.25*3.14*$P$6*$P$6*($P$8+0.01)*P15</f>
        <v>8.2975127999999998</v>
      </c>
      <c r="X15" s="163">
        <f t="shared" ref="X15" si="2">U15-W15</f>
        <v>29.217751253333326</v>
      </c>
    </row>
    <row r="16" spans="1:24" s="112" customFormat="1" x14ac:dyDescent="0.25">
      <c r="A16" s="168" t="s">
        <v>127</v>
      </c>
      <c r="B16" s="127">
        <v>1.5</v>
      </c>
      <c r="C16" s="127"/>
      <c r="D16" s="127">
        <v>1</v>
      </c>
      <c r="E16" s="127"/>
      <c r="F16" s="127"/>
      <c r="G16" s="127"/>
      <c r="H16" s="127">
        <v>1</v>
      </c>
      <c r="I16" s="127">
        <v>3</v>
      </c>
      <c r="J16" s="127"/>
      <c r="K16" s="127">
        <v>1</v>
      </c>
      <c r="L16" s="127"/>
      <c r="M16" s="127">
        <v>3</v>
      </c>
      <c r="N16" s="127">
        <v>1</v>
      </c>
      <c r="O16" s="127"/>
      <c r="P16" s="132"/>
      <c r="Q16" s="179">
        <f t="shared" ref="Q16:Q22" si="3">C16*0.18+D16*0.38+E16*0.08+F16*0.16+G16*0.24+H16*0.265+I16*0.4+J16*0.1+K16*0.27+L16*0.09+M16*0.02+N16*0.05+O16*0.098+P16*0.015</f>
        <v>2.2250000000000001</v>
      </c>
      <c r="R16" s="168">
        <f>$C$8*C16+$D$8*D16+$E$8*E16+$F$8*F16+$G$8*G16+$H$8*H16+$I$8*I16+$J$8*J16+$K$8*K16+$L$8*L16+$M$8*M16+$N$8*N16+$O$8*O16+$P$8*P16+0.1</f>
        <v>4.129999999999999</v>
      </c>
      <c r="S16" s="127">
        <f>($D$6+$K$2*2)*($D$6+$K$2*2)</f>
        <v>10.240000000000002</v>
      </c>
      <c r="T16" s="156">
        <f>(($D$6+$K$2*2)+$K$1*R16*2)*(($D$6+$K$2*2)+$K$1*R16*2)</f>
        <v>76.286249639999994</v>
      </c>
      <c r="U16" s="128">
        <f t="shared" ref="U16" si="4">1/3*(S16+T16+SQRT(S16*T16))</f>
        <v>38.158563213333331</v>
      </c>
      <c r="V16" s="128">
        <f>0.25*3.14*$C$6*$C$6*C16+(0.25*3.14*$C$6*$C$6-0.25*3.14*1.16*1.16)*C16+
0.25*3.14*$D$6*$D$6*D16+(0.25*3.14*$D$6*$D$6-0.25*3.14*1.68*1.68)*D16+
3.14*$C$6*$C$8*C16+3.14*$D$6*$D$8*D16+3.14*$E$6*($E$8+0.01)*E16+3.14*$F$6*($F$8+0.01)*F16+3.14*$G$6*($G$8+0.01)*G16+3.14*$H$6*($H$8+0.01)*H16+3.14*$I$6*($I$8+0.01)*I16+3.14*$J$6*($J$8+0.01)*J16+3.14*$K$6*($K$8+0.01)*K16+3.14*$L$6*($L$8+0.01)*L16+3.14*$M$6*($M$8+0.01)*M16+3.14*$N$6*($N$8+0.01)*N16+3.14*$O$6*($O$8+0.01)*O16+3.14*$P$6*($P$8+0.01)*P16+
(0.25*3.14*$J$6*$J$6-0.25*3.14*0.84*0.84)*J16+
(0.25*3.14*$K$6*$K$6-0.25*3.14*0.84*0.84)*K16</f>
        <v>26.156199999999998</v>
      </c>
      <c r="W16" s="100">
        <f t="shared" ref="W16:W22" si="5">0.25*3.14*$C$6*$C$6*$C$8*C16+0.25*3.14*$D$6*$D$6*$D$8*D16+0.25*3.14*$E$6*$E$6*($E$8+0.01)*E16+0.25*3.14*$F$6*$F$6*($F$8+0.01)*F16+0.25*3.14*$G$6*$G$6*($G$8+0.01)*G16+0.25*3.14*$H$6*$H$6*($H$8+0.01)*H16+0.25*3.14*$I$6*$I$6*($I$8+0.01)*I16+0.25*3.14*$J$6*$J$6*($J$8+0.01)*J16+0.25*3.14*$K$6*$K$6*($K$8+0.01)*K16+0.25*3.14*$L$6*$L$6*($L$8+0.01)*L16+0.25*3.14*$M$6*$M$6*($M$8+0.01)*M16+0.25*3.14*$N$6*$N$6*($N$8+0.01)*N16+0.25*3.14*$O$6*$O$6*($O$8+0.01)*O16+0.25*3.14*$P$6*$P$6*($P$8+0.01)*P16</f>
        <v>8.3418244799999997</v>
      </c>
      <c r="X16" s="157">
        <f t="shared" ref="X16" si="6">U16-W16</f>
        <v>29.816738733333331</v>
      </c>
    </row>
    <row r="17" spans="1:24" s="112" customFormat="1" x14ac:dyDescent="0.25">
      <c r="A17" s="168" t="s">
        <v>128</v>
      </c>
      <c r="B17" s="127">
        <v>1.5</v>
      </c>
      <c r="C17" s="127"/>
      <c r="D17" s="127">
        <v>1</v>
      </c>
      <c r="E17" s="127"/>
      <c r="F17" s="127"/>
      <c r="G17" s="127"/>
      <c r="H17" s="127">
        <v>1</v>
      </c>
      <c r="I17" s="127">
        <v>3</v>
      </c>
      <c r="J17" s="127"/>
      <c r="K17" s="127">
        <v>1</v>
      </c>
      <c r="L17" s="127"/>
      <c r="M17" s="127">
        <v>1</v>
      </c>
      <c r="N17" s="127">
        <v>1</v>
      </c>
      <c r="O17" s="127"/>
      <c r="P17" s="132"/>
      <c r="Q17" s="179">
        <f t="shared" si="3"/>
        <v>2.1850000000000001</v>
      </c>
      <c r="R17" s="168">
        <f t="shared" ref="R17:R22" si="7">$C$8*C17+$D$8*D17+$E$8*E17+$F$8*F17+$G$8*G17+$H$8*H17+$I$8*I17+$J$8*J17+$K$8*K17+$L$8*L17+$M$8*M17+$N$8*N17+$O$8*O17+$P$8*P17+0.1</f>
        <v>3.9899999999999998</v>
      </c>
      <c r="S17" s="127">
        <f>($D$6+$K$2*2)*($D$6+$K$2*2)</f>
        <v>10.240000000000002</v>
      </c>
      <c r="T17" s="156">
        <f>(($D$6+$K$2*2)+$K$1*R17*2)*(($D$6+$K$2*2)+$K$1*R17*2)</f>
        <v>73.044371560000002</v>
      </c>
      <c r="U17" s="128">
        <f t="shared" ref="U17:U22" si="8">1/3*(S17+T17+SQRT(S17*T17))</f>
        <v>36.877830520000003</v>
      </c>
      <c r="V17" s="128">
        <f t="shared" ref="V17:V22" si="9">0.25*3.14*$C$6*$C$6*C17+(0.25*3.14*$C$6*$C$6-0.25*3.14*1.16*1.16)*C17+
0.25*3.14*$D$6*$D$6*D17+(0.25*3.14*$D$6*$D$6-0.25*3.14*1.68*1.68)*D17+
3.14*$C$6*$C$8*C17+3.14*$D$6*$D$8*D17+3.14*$E$6*($E$8+0.01)*E17+3.14*$F$6*($F$8+0.01)*F17+3.14*$G$6*($G$8+0.01)*G17+3.14*$H$6*($H$8+0.01)*H17+3.14*$I$6*($I$8+0.01)*I17+3.14*$J$6*($J$8+0.01)*J17+3.14*$K$6*($K$8+0.01)*K17+3.14*$L$6*($L$8+0.01)*L17+3.14*$M$6*($M$8+0.01)*M17+3.14*$N$6*($N$8+0.01)*N17+3.14*$O$6*($O$8+0.01)*O17+3.14*$P$6*($P$8+0.01)*P17+
(0.25*3.14*$J$6*$J$6-0.25*3.14*0.84*0.84)*J17+
(0.25*3.14*$K$6*$K$6-0.25*3.14*0.84*0.84)*K17</f>
        <v>25.734183999999999</v>
      </c>
      <c r="W17" s="100">
        <f t="shared" si="5"/>
        <v>8.2532011199999999</v>
      </c>
      <c r="X17" s="157">
        <f t="shared" ref="X17:X19" si="10">U17-W17</f>
        <v>28.624629400000003</v>
      </c>
    </row>
    <row r="18" spans="1:24" s="112" customFormat="1" x14ac:dyDescent="0.25">
      <c r="A18" s="168" t="s">
        <v>129</v>
      </c>
      <c r="B18" s="127">
        <v>1.5</v>
      </c>
      <c r="C18" s="127"/>
      <c r="D18" s="127">
        <v>1</v>
      </c>
      <c r="E18" s="127"/>
      <c r="F18" s="127"/>
      <c r="G18" s="127"/>
      <c r="H18" s="127"/>
      <c r="I18" s="127">
        <v>3</v>
      </c>
      <c r="J18" s="127"/>
      <c r="K18" s="127">
        <v>1</v>
      </c>
      <c r="L18" s="127"/>
      <c r="M18" s="127">
        <v>2</v>
      </c>
      <c r="N18" s="127">
        <v>1</v>
      </c>
      <c r="O18" s="127"/>
      <c r="P18" s="132"/>
      <c r="Q18" s="179">
        <f t="shared" si="3"/>
        <v>1.9400000000000002</v>
      </c>
      <c r="R18" s="168">
        <f t="shared" si="7"/>
        <v>3.47</v>
      </c>
      <c r="S18" s="127">
        <f>($D$6+$K$2*2)*($D$6+$K$2*2)</f>
        <v>10.240000000000002</v>
      </c>
      <c r="T18" s="156">
        <f>(($D$6+$K$2*2)+$K$1*R18*2)*(($D$6+$K$2*2)+$K$1*R18*2)</f>
        <v>61.619360040000018</v>
      </c>
      <c r="U18" s="128">
        <f t="shared" si="8"/>
        <v>32.326240013333333</v>
      </c>
      <c r="V18" s="128">
        <f t="shared" si="9"/>
        <v>22.780071999999997</v>
      </c>
      <c r="W18" s="100">
        <f t="shared" si="5"/>
        <v>6.9681623999999998</v>
      </c>
      <c r="X18" s="157">
        <f t="shared" si="10"/>
        <v>25.358077613333332</v>
      </c>
    </row>
    <row r="19" spans="1:24" s="112" customFormat="1" x14ac:dyDescent="0.25">
      <c r="A19" s="168" t="s">
        <v>130</v>
      </c>
      <c r="B19" s="127">
        <v>1.5</v>
      </c>
      <c r="C19" s="127"/>
      <c r="D19" s="127">
        <v>1</v>
      </c>
      <c r="E19" s="127"/>
      <c r="F19" s="127"/>
      <c r="G19" s="127"/>
      <c r="H19" s="127"/>
      <c r="I19" s="127">
        <v>3</v>
      </c>
      <c r="J19" s="127"/>
      <c r="K19" s="127">
        <v>1</v>
      </c>
      <c r="L19" s="127"/>
      <c r="M19" s="127">
        <v>2</v>
      </c>
      <c r="N19" s="127">
        <v>1</v>
      </c>
      <c r="O19" s="127"/>
      <c r="P19" s="132"/>
      <c r="Q19" s="179">
        <f t="shared" si="3"/>
        <v>1.9400000000000002</v>
      </c>
      <c r="R19" s="168">
        <f t="shared" si="7"/>
        <v>3.47</v>
      </c>
      <c r="S19" s="127">
        <f>($D$6+$K$2*2)*($D$6+$K$2*2)</f>
        <v>10.240000000000002</v>
      </c>
      <c r="T19" s="156">
        <f>(($D$6+$K$2*2)+$K$1*R19*2)*(($D$6+$K$2*2)+$K$1*R19*2)</f>
        <v>61.619360040000018</v>
      </c>
      <c r="U19" s="128">
        <f t="shared" si="8"/>
        <v>32.326240013333333</v>
      </c>
      <c r="V19" s="128">
        <f t="shared" si="9"/>
        <v>22.780071999999997</v>
      </c>
      <c r="W19" s="100">
        <f t="shared" si="5"/>
        <v>6.9681623999999998</v>
      </c>
      <c r="X19" s="157">
        <f t="shared" si="10"/>
        <v>25.358077613333332</v>
      </c>
    </row>
    <row r="20" spans="1:24" s="112" customFormat="1" x14ac:dyDescent="0.25">
      <c r="A20" s="168" t="s">
        <v>131</v>
      </c>
      <c r="B20" s="127">
        <v>1</v>
      </c>
      <c r="C20" s="127">
        <v>1</v>
      </c>
      <c r="D20" s="127"/>
      <c r="E20" s="127"/>
      <c r="F20" s="127">
        <v>2</v>
      </c>
      <c r="G20" s="127">
        <v>1</v>
      </c>
      <c r="H20" s="127"/>
      <c r="I20" s="127"/>
      <c r="J20" s="127">
        <v>1</v>
      </c>
      <c r="K20" s="127"/>
      <c r="L20" s="127"/>
      <c r="M20" s="127">
        <v>2</v>
      </c>
      <c r="N20" s="127"/>
      <c r="O20" s="127"/>
      <c r="P20" s="132"/>
      <c r="Q20" s="179">
        <f t="shared" si="3"/>
        <v>0.88</v>
      </c>
      <c r="R20" s="168">
        <f t="shared" si="7"/>
        <v>2.56</v>
      </c>
      <c r="S20" s="127">
        <f>($C$6+$K$2*2)*($C$6+$K$2*2)</f>
        <v>7.2900000000000009</v>
      </c>
      <c r="T20" s="156">
        <f>(($C$6+$K$2*2)+$K$1*R20*2)*(($C$6+$K$2*2)+$K$1*R20*2)</f>
        <v>37.581804159999997</v>
      </c>
      <c r="U20" s="128">
        <f t="shared" si="8"/>
        <v>20.474628053333333</v>
      </c>
      <c r="V20" s="128">
        <f t="shared" si="9"/>
        <v>12.103443999999998</v>
      </c>
      <c r="W20" s="100">
        <f t="shared" si="5"/>
        <v>2.65247732</v>
      </c>
      <c r="X20" s="134">
        <f>U20-W20</f>
        <v>17.822150733333334</v>
      </c>
    </row>
    <row r="21" spans="1:24" s="112" customFormat="1" x14ac:dyDescent="0.25">
      <c r="A21" s="168" t="s">
        <v>132</v>
      </c>
      <c r="B21" s="127">
        <v>1</v>
      </c>
      <c r="C21" s="127">
        <v>1</v>
      </c>
      <c r="D21" s="127"/>
      <c r="E21" s="127"/>
      <c r="F21" s="127">
        <v>2</v>
      </c>
      <c r="G21" s="127">
        <v>1</v>
      </c>
      <c r="H21" s="127"/>
      <c r="I21" s="127"/>
      <c r="J21" s="127">
        <v>1</v>
      </c>
      <c r="K21" s="127"/>
      <c r="L21" s="127"/>
      <c r="M21" s="127">
        <v>1</v>
      </c>
      <c r="N21" s="127">
        <v>1</v>
      </c>
      <c r="O21" s="127"/>
      <c r="P21" s="132"/>
      <c r="Q21" s="179">
        <f t="shared" si="3"/>
        <v>0.91</v>
      </c>
      <c r="R21" s="168">
        <f t="shared" si="7"/>
        <v>2.78</v>
      </c>
      <c r="S21" s="127">
        <f>($C$6+$K$2*2)*($C$6+$K$2*2)</f>
        <v>7.2900000000000009</v>
      </c>
      <c r="T21" s="156">
        <f>(($C$6+$K$2*2)+$K$1*R21*2)*(($C$6+$K$2*2)+$K$1*R21*2)</f>
        <v>41.283195040000003</v>
      </c>
      <c r="U21" s="128">
        <f t="shared" si="8"/>
        <v>21.973745013333332</v>
      </c>
      <c r="V21" s="128">
        <f t="shared" si="9"/>
        <v>12.683715999999999</v>
      </c>
      <c r="W21" s="100">
        <f t="shared" si="5"/>
        <v>2.7743344399999996</v>
      </c>
      <c r="X21" s="134">
        <f>U21-W21</f>
        <v>19.199410573333331</v>
      </c>
    </row>
    <row r="22" spans="1:24" s="112" customFormat="1" ht="15.75" thickBot="1" x14ac:dyDescent="0.3">
      <c r="A22" s="178" t="s">
        <v>133</v>
      </c>
      <c r="B22" s="145">
        <v>1</v>
      </c>
      <c r="C22" s="145">
        <v>1</v>
      </c>
      <c r="D22" s="145"/>
      <c r="E22" s="145"/>
      <c r="F22" s="145">
        <v>2</v>
      </c>
      <c r="G22" s="145">
        <v>1</v>
      </c>
      <c r="H22" s="145"/>
      <c r="I22" s="145"/>
      <c r="J22" s="145">
        <v>1</v>
      </c>
      <c r="K22" s="145"/>
      <c r="L22" s="145"/>
      <c r="M22" s="145">
        <v>2</v>
      </c>
      <c r="N22" s="145"/>
      <c r="O22" s="145"/>
      <c r="P22" s="146"/>
      <c r="Q22" s="181">
        <f t="shared" si="3"/>
        <v>0.88</v>
      </c>
      <c r="R22" s="178">
        <f t="shared" si="7"/>
        <v>2.56</v>
      </c>
      <c r="S22" s="145">
        <f>($C$6+$K$2*2)*($C$6+$K$2*2)</f>
        <v>7.2900000000000009</v>
      </c>
      <c r="T22" s="158">
        <f>(($C$6+$K$2*2)+$K$1*R22*2)*(($C$6+$K$2*2)+$K$1*R22*2)</f>
        <v>37.581804159999997</v>
      </c>
      <c r="U22" s="129">
        <f t="shared" si="8"/>
        <v>20.474628053333333</v>
      </c>
      <c r="V22" s="129">
        <f t="shared" si="9"/>
        <v>12.103443999999998</v>
      </c>
      <c r="W22" s="105">
        <f t="shared" si="5"/>
        <v>2.65247732</v>
      </c>
      <c r="X22" s="135">
        <f>U22-W22</f>
        <v>17.822150733333334</v>
      </c>
    </row>
    <row r="23" spans="1:24" x14ac:dyDescent="0.25">
      <c r="Q23" s="121"/>
      <c r="T23" s="138"/>
      <c r="U23" s="138">
        <f>SUM(U15:U22)</f>
        <v>240.12713893333333</v>
      </c>
      <c r="V23" s="138">
        <f>SUM(V15:V22)</f>
        <v>160.28632399999998</v>
      </c>
      <c r="X23" s="138">
        <f>SUM(X15:X22)</f>
        <v>193.2189866533333</v>
      </c>
    </row>
    <row r="24" spans="1:24" x14ac:dyDescent="0.25">
      <c r="V24" s="122"/>
    </row>
    <row r="25" spans="1:24" x14ac:dyDescent="0.25">
      <c r="V25" s="122"/>
    </row>
    <row r="27" spans="1:24" x14ac:dyDescent="0.25">
      <c r="U27" s="85"/>
      <c r="X27" s="85"/>
    </row>
    <row r="29" spans="1:24" x14ac:dyDescent="0.25">
      <c r="U29" s="164"/>
      <c r="X29" s="164"/>
    </row>
  </sheetData>
  <mergeCells count="12">
    <mergeCell ref="A4:A8"/>
    <mergeCell ref="B4:B8"/>
    <mergeCell ref="Q4:Q8"/>
    <mergeCell ref="R4:R8"/>
    <mergeCell ref="S4:S8"/>
    <mergeCell ref="U4:U8"/>
    <mergeCell ref="V4:V8"/>
    <mergeCell ref="W4:W8"/>
    <mergeCell ref="X4:X8"/>
    <mergeCell ref="C5:P5"/>
    <mergeCell ref="C7:P7"/>
    <mergeCell ref="T4:T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Смета</vt:lpstr>
      <vt:lpstr>Расчет грунта (трубы)</vt:lpstr>
      <vt:lpstr>Расчет грунта (колодцы)</vt:lpstr>
      <vt:lpstr>Смета!Заголовки_для_печати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Вайгель</dc:creator>
  <cp:lastModifiedBy>Петрова Елена</cp:lastModifiedBy>
  <cp:lastPrinted>2026-08-20T04:16:55Z</cp:lastPrinted>
  <dcterms:created xsi:type="dcterms:W3CDTF">2020-06-04T02:28:29Z</dcterms:created>
  <dcterms:modified xsi:type="dcterms:W3CDTF">2026-08-31T07:51:37Z</dcterms:modified>
</cp:coreProperties>
</file>