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.5.1\Stroyka\ПТО\LEMONT\Технические задания\1 этап\19. Финишная отделка демо-этажа\"/>
    </mc:Choice>
  </mc:AlternateContent>
  <bookViews>
    <workbookView xWindow="0" yWindow="0" windowWidth="19140" windowHeight="9750"/>
  </bookViews>
  <sheets>
    <sheet name="вариант 2026" sheetId="2" r:id="rId1"/>
  </sheets>
  <definedNames>
    <definedName name="_xlnm.Print_Area" localSheetId="0">'вариант 2026'!$A$1:$H$195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2" l="1"/>
  <c r="D43" i="2"/>
  <c r="H45" i="2" s="1"/>
  <c r="H44" i="2"/>
  <c r="F43" i="2" l="1"/>
  <c r="D184" i="2"/>
  <c r="D185" i="2" s="1"/>
  <c r="H185" i="2" s="1"/>
  <c r="D182" i="2"/>
  <c r="D183" i="2" s="1"/>
  <c r="H183" i="2" s="1"/>
  <c r="D179" i="2"/>
  <c r="D181" i="2" s="1"/>
  <c r="D178" i="2"/>
  <c r="D177" i="2"/>
  <c r="D110" i="2"/>
  <c r="F110" i="2" s="1"/>
  <c r="D109" i="2"/>
  <c r="H109" i="2" s="1"/>
  <c r="D49" i="2"/>
  <c r="D157" i="2"/>
  <c r="D151" i="2"/>
  <c r="D180" i="2" l="1"/>
  <c r="D186" i="2"/>
  <c r="H186" i="2" s="1"/>
  <c r="D187" i="2"/>
  <c r="H187" i="2" s="1"/>
  <c r="F184" i="2"/>
  <c r="F182" i="2"/>
  <c r="D111" i="2"/>
  <c r="H111" i="2" s="1"/>
  <c r="D112" i="2"/>
  <c r="H112" i="2" s="1"/>
  <c r="F108" i="2"/>
  <c r="F179" i="2"/>
  <c r="F177" i="2"/>
  <c r="H178" i="2" l="1"/>
  <c r="H180" i="2"/>
  <c r="H181" i="2"/>
  <c r="D77" i="2"/>
  <c r="D73" i="2"/>
  <c r="D105" i="2"/>
  <c r="F51" i="2" l="1"/>
  <c r="D52" i="2"/>
  <c r="H52" i="2" s="1"/>
  <c r="D50" i="2"/>
  <c r="H50" i="2" s="1"/>
  <c r="F49" i="2"/>
  <c r="D20" i="2"/>
  <c r="F127" i="2" l="1"/>
  <c r="D132" i="2"/>
  <c r="D128" i="2"/>
  <c r="D95" i="2"/>
  <c r="D171" i="2" l="1"/>
  <c r="D143" i="2"/>
  <c r="D123" i="2"/>
  <c r="D121" i="2"/>
  <c r="D70" i="2"/>
  <c r="D168" i="2"/>
  <c r="D170" i="2" s="1"/>
  <c r="H170" i="2" s="1"/>
  <c r="D165" i="2"/>
  <c r="F165" i="2" s="1"/>
  <c r="D163" i="2"/>
  <c r="H163" i="2" s="1"/>
  <c r="D162" i="2"/>
  <c r="H162" i="2" s="1"/>
  <c r="D160" i="2"/>
  <c r="F160" i="2" s="1"/>
  <c r="D161" i="2"/>
  <c r="H161" i="2" s="1"/>
  <c r="D159" i="2"/>
  <c r="H159" i="2" s="1"/>
  <c r="D133" i="2"/>
  <c r="H133" i="2" s="1"/>
  <c r="D119" i="2"/>
  <c r="F119" i="2" s="1"/>
  <c r="D154" i="2"/>
  <c r="D156" i="2" s="1"/>
  <c r="H156" i="2" s="1"/>
  <c r="D155" i="2"/>
  <c r="H155" i="2" s="1"/>
  <c r="D152" i="2"/>
  <c r="H152" i="2" s="1"/>
  <c r="D117" i="2"/>
  <c r="D148" i="2"/>
  <c r="F148" i="2" s="1"/>
  <c r="D167" i="2" l="1"/>
  <c r="H167" i="2" s="1"/>
  <c r="D153" i="2"/>
  <c r="H153" i="2" s="1"/>
  <c r="D166" i="2"/>
  <c r="H166" i="2" s="1"/>
  <c r="F168" i="2"/>
  <c r="D169" i="2"/>
  <c r="H169" i="2" s="1"/>
  <c r="D164" i="2"/>
  <c r="H164" i="2" s="1"/>
  <c r="F151" i="2"/>
  <c r="F154" i="2"/>
  <c r="D120" i="2"/>
  <c r="H120" i="2" s="1"/>
  <c r="D158" i="2"/>
  <c r="H158" i="2" s="1"/>
  <c r="F157" i="2"/>
  <c r="D134" i="2"/>
  <c r="H134" i="2" s="1"/>
  <c r="F132" i="2"/>
  <c r="D149" i="2"/>
  <c r="H149" i="2" s="1"/>
  <c r="D150" i="2"/>
  <c r="H150" i="2" s="1"/>
  <c r="F147" i="2"/>
  <c r="D144" i="2"/>
  <c r="H143" i="2"/>
  <c r="D138" i="2"/>
  <c r="D139" i="2" s="1"/>
  <c r="H139" i="2" s="1"/>
  <c r="D135" i="2"/>
  <c r="D137" i="2" s="1"/>
  <c r="D107" i="2"/>
  <c r="H107" i="2" s="1"/>
  <c r="D99" i="2"/>
  <c r="D101" i="2" s="1"/>
  <c r="H101" i="2" s="1"/>
  <c r="H95" i="2"/>
  <c r="F94" i="2"/>
  <c r="D113" i="2"/>
  <c r="D102" i="2"/>
  <c r="D104" i="2" s="1"/>
  <c r="H104" i="2" s="1"/>
  <c r="D146" i="2" l="1"/>
  <c r="H146" i="2" s="1"/>
  <c r="F138" i="2"/>
  <c r="D145" i="2"/>
  <c r="D140" i="2"/>
  <c r="H140" i="2" s="1"/>
  <c r="F141" i="2"/>
  <c r="D142" i="2"/>
  <c r="H142" i="2" s="1"/>
  <c r="D100" i="2"/>
  <c r="H100" i="2" s="1"/>
  <c r="D96" i="2" l="1"/>
  <c r="D89" i="2"/>
  <c r="D86" i="2"/>
  <c r="H88" i="2"/>
  <c r="H93" i="2"/>
  <c r="H92" i="2"/>
  <c r="D83" i="2"/>
  <c r="D54" i="2"/>
  <c r="D80" i="2"/>
  <c r="D75" i="2" l="1"/>
  <c r="H75" i="2" s="1"/>
  <c r="F70" i="2"/>
  <c r="D68" i="2"/>
  <c r="F68" i="2" s="1"/>
  <c r="D66" i="2"/>
  <c r="D67" i="2" s="1"/>
  <c r="H67" i="2" s="1"/>
  <c r="D64" i="2"/>
  <c r="D65" i="2" s="1"/>
  <c r="H65" i="2" s="1"/>
  <c r="D56" i="2"/>
  <c r="D57" i="2" s="1"/>
  <c r="H57" i="2" s="1"/>
  <c r="D60" i="2"/>
  <c r="F60" i="2" s="1"/>
  <c r="D58" i="2"/>
  <c r="F58" i="2" s="1"/>
  <c r="D62" i="2"/>
  <c r="F62" i="2" s="1"/>
  <c r="D55" i="2"/>
  <c r="H55" i="2" s="1"/>
  <c r="D37" i="2"/>
  <c r="D40" i="2" s="1"/>
  <c r="F40" i="2" s="1"/>
  <c r="D34" i="2"/>
  <c r="D35" i="2" s="1"/>
  <c r="H35" i="2" s="1"/>
  <c r="H175" i="2"/>
  <c r="F174" i="2"/>
  <c r="F171" i="2"/>
  <c r="H145" i="2"/>
  <c r="H137" i="2"/>
  <c r="D131" i="2"/>
  <c r="H131" i="2" s="1"/>
  <c r="D126" i="2"/>
  <c r="H126" i="2" s="1"/>
  <c r="D122" i="2"/>
  <c r="H122" i="2" s="1"/>
  <c r="F117" i="2"/>
  <c r="F113" i="2"/>
  <c r="D106" i="2"/>
  <c r="H106" i="2" s="1"/>
  <c r="D103" i="2"/>
  <c r="H103" i="2" s="1"/>
  <c r="D98" i="2"/>
  <c r="H91" i="2"/>
  <c r="H90" i="2"/>
  <c r="H87" i="2"/>
  <c r="F86" i="2"/>
  <c r="D85" i="2"/>
  <c r="H85" i="2" s="1"/>
  <c r="D81" i="2"/>
  <c r="H81" i="2" s="1"/>
  <c r="F77" i="2"/>
  <c r="D48" i="2"/>
  <c r="H48" i="2" s="1"/>
  <c r="F47" i="2"/>
  <c r="H41" i="2"/>
  <c r="D29" i="2"/>
  <c r="D31" i="2" s="1"/>
  <c r="H31" i="2" s="1"/>
  <c r="D28" i="2"/>
  <c r="H28" i="2" s="1"/>
  <c r="F27" i="2"/>
  <c r="H98" i="2" l="1"/>
  <c r="F89" i="2"/>
  <c r="D69" i="2"/>
  <c r="H69" i="2" s="1"/>
  <c r="D71" i="2"/>
  <c r="H71" i="2" s="1"/>
  <c r="F96" i="2"/>
  <c r="F83" i="2"/>
  <c r="F135" i="2"/>
  <c r="F64" i="2"/>
  <c r="D84" i="2"/>
  <c r="H84" i="2" s="1"/>
  <c r="D136" i="2"/>
  <c r="H136" i="2" s="1"/>
  <c r="D72" i="2"/>
  <c r="H72" i="2" s="1"/>
  <c r="D61" i="2"/>
  <c r="H61" i="2" s="1"/>
  <c r="F66" i="2"/>
  <c r="D63" i="2"/>
  <c r="H63" i="2" s="1"/>
  <c r="F144" i="2"/>
  <c r="F128" i="2"/>
  <c r="D129" i="2"/>
  <c r="H129" i="2" s="1"/>
  <c r="D130" i="2"/>
  <c r="H130" i="2" s="1"/>
  <c r="D97" i="2"/>
  <c r="H97" i="2" s="1"/>
  <c r="D39" i="2"/>
  <c r="H39" i="2" s="1"/>
  <c r="D32" i="2"/>
  <c r="H32" i="2" s="1"/>
  <c r="D22" i="2"/>
  <c r="D25" i="2" s="1"/>
  <c r="H25" i="2" s="1"/>
  <c r="F20" i="2"/>
  <c r="D172" i="2"/>
  <c r="H172" i="2" s="1"/>
  <c r="D79" i="2"/>
  <c r="H79" i="2" s="1"/>
  <c r="D114" i="2"/>
  <c r="H114" i="2" s="1"/>
  <c r="F34" i="2"/>
  <c r="D42" i="2"/>
  <c r="H42" i="2" s="1"/>
  <c r="F73" i="2"/>
  <c r="F121" i="2"/>
  <c r="D173" i="2"/>
  <c r="H173" i="2" s="1"/>
  <c r="D115" i="2"/>
  <c r="H115" i="2" s="1"/>
  <c r="D21" i="2"/>
  <c r="H21" i="2" s="1"/>
  <c r="F80" i="2"/>
  <c r="F102" i="2"/>
  <c r="D78" i="2"/>
  <c r="H78" i="2" s="1"/>
  <c r="D59" i="2"/>
  <c r="H59" i="2" s="1"/>
  <c r="D118" i="2"/>
  <c r="H118" i="2" s="1"/>
  <c r="D124" i="2"/>
  <c r="H124" i="2" s="1"/>
  <c r="D76" i="2"/>
  <c r="H76" i="2" s="1"/>
  <c r="D82" i="2"/>
  <c r="H82" i="2" s="1"/>
  <c r="F54" i="2"/>
  <c r="F56" i="2"/>
  <c r="F105" i="2"/>
  <c r="D125" i="2"/>
  <c r="H125" i="2" s="1"/>
  <c r="D74" i="2"/>
  <c r="H74" i="2" s="1"/>
  <c r="F29" i="2"/>
  <c r="F37" i="2"/>
  <c r="F123" i="2"/>
  <c r="D30" i="2"/>
  <c r="H30" i="2" s="1"/>
  <c r="D38" i="2"/>
  <c r="H38" i="2" s="1"/>
  <c r="D23" i="2" l="1"/>
  <c r="H23" i="2" s="1"/>
  <c r="F22" i="2"/>
  <c r="D24" i="2"/>
  <c r="H24" i="2" s="1"/>
  <c r="F193" i="2"/>
  <c r="H193" i="2" l="1"/>
  <c r="C194" i="2" s="1"/>
</calcChain>
</file>

<file path=xl/sharedStrings.xml><?xml version="1.0" encoding="utf-8"?>
<sst xmlns="http://schemas.openxmlformats.org/spreadsheetml/2006/main" count="412" uniqueCount="212">
  <si>
    <t xml:space="preserve">Кол-во
</t>
  </si>
  <si>
    <t xml:space="preserve">Ед изм.
</t>
  </si>
  <si>
    <t xml:space="preserve">Наименование
</t>
  </si>
  <si>
    <t xml:space="preserve">№ п/п
</t>
  </si>
  <si>
    <t>Пол. Коридор</t>
  </si>
  <si>
    <t>Грунтовка пола</t>
  </si>
  <si>
    <t>Грунтовка</t>
  </si>
  <si>
    <t>м2</t>
  </si>
  <si>
    <t>л</t>
  </si>
  <si>
    <t>Стоимость единицы работ с учетом накладных расходов и сметной прибыли, руб</t>
  </si>
  <si>
    <t>Стоимость единицы материалов, руб</t>
  </si>
  <si>
    <t>Общая стоимость работ с учетом накладных расходов и сметной прибыли, руб</t>
  </si>
  <si>
    <t>Общая стоимость материалов, руб</t>
  </si>
  <si>
    <t>Клей для плитки</t>
  </si>
  <si>
    <t>Керамогранит (материал заказчика)</t>
  </si>
  <si>
    <t>кг</t>
  </si>
  <si>
    <t>м.п.</t>
  </si>
  <si>
    <t>м.п</t>
  </si>
  <si>
    <t>Пол. Лифтовой холл</t>
  </si>
  <si>
    <t>шт</t>
  </si>
  <si>
    <t>1.1</t>
  </si>
  <si>
    <t>1.2</t>
  </si>
  <si>
    <t>1.5</t>
  </si>
  <si>
    <t>Потолок. Коридор</t>
  </si>
  <si>
    <t>2.1</t>
  </si>
  <si>
    <t>компл.</t>
  </si>
  <si>
    <t>Монтаж реечного потолка</t>
  </si>
  <si>
    <t>Потолок. Лифтовой холл</t>
  </si>
  <si>
    <t>монтаж потолка из ГКЛВ, с теневым профилем по периметру</t>
  </si>
  <si>
    <t>2.2</t>
  </si>
  <si>
    <t>2.3</t>
  </si>
  <si>
    <t>Стены. Коридор</t>
  </si>
  <si>
    <t>3.1</t>
  </si>
  <si>
    <t>Комплектующие (профили, дюбеля, шурупы, ленты , гипсокартоновый влагостойкий лист 12,5 мм и. тд.)</t>
  </si>
  <si>
    <t>Облицовка  с одинарной обшивкой из Кнауф листов ГКЛВ c одной стороны на одинарном металлическом каркасе  (электрощитов)</t>
  </si>
  <si>
    <t>Материалы (грунтовка, клей, гипсокартоновый влагостойкий лист 12,5 мм, дюбель гвоздь)</t>
  </si>
  <si>
    <t>3.2</t>
  </si>
  <si>
    <t>3.3</t>
  </si>
  <si>
    <t>TERRACO HANDYCOAT ACRILIC ALL-PURPOSE INTERIOR готовая универсальная шпатлевка</t>
  </si>
  <si>
    <t xml:space="preserve">TERRACO SPRAYPLASTER ACRILIC FC INTERIOR финишная шпатлевка </t>
  </si>
  <si>
    <t>Нанесение декоративной штукатурки на стены и откосы дверей  с грунтованией поверхности</t>
  </si>
  <si>
    <t>3.4</t>
  </si>
  <si>
    <t>3.5</t>
  </si>
  <si>
    <t>Окраска потолка</t>
  </si>
  <si>
    <t xml:space="preserve">Грунтовка </t>
  </si>
  <si>
    <t>Окраска стены h=50 мм (по периметру стен за потолком)</t>
  </si>
  <si>
    <t>3.6</t>
  </si>
  <si>
    <t>3.7</t>
  </si>
  <si>
    <t>3.8</t>
  </si>
  <si>
    <t xml:space="preserve">Нанесение декоративной штукатурки  с грунтованией поверхности на фасады технических шкафов  </t>
  </si>
  <si>
    <t>3.9</t>
  </si>
  <si>
    <t>Адгезионный грунт</t>
  </si>
  <si>
    <t>3.10</t>
  </si>
  <si>
    <t>Грунтовка стен и откосов под керамогранит</t>
  </si>
  <si>
    <t>Стены. Лифтовой холл</t>
  </si>
  <si>
    <t>Монтаж металлических триммов</t>
  </si>
  <si>
    <t>3.14</t>
  </si>
  <si>
    <t>3.15</t>
  </si>
  <si>
    <t>3.16</t>
  </si>
  <si>
    <t>3.17</t>
  </si>
  <si>
    <t>3.18</t>
  </si>
  <si>
    <t>3.20</t>
  </si>
  <si>
    <t>3.19</t>
  </si>
  <si>
    <t>Укрывка пола в помещении</t>
  </si>
  <si>
    <t>Пол. Коридор, лифтовой холл, тамбур</t>
  </si>
  <si>
    <t>Устройство покрытий из плит керамогранитных (с учетом резов с дороботкой края алмазными дисками)</t>
  </si>
  <si>
    <t>Затирка силиконовая Ceresit CS 25, 0,28л</t>
  </si>
  <si>
    <t>Лента малярная  Tesa голубая , 30мм x 25 м</t>
  </si>
  <si>
    <t>шпатлевка акриловая сверхлегкая fome flex finish 0,3</t>
  </si>
  <si>
    <t>лента малярная  Tesa голубая , 30 мм x 25 м</t>
  </si>
  <si>
    <t>Окраска стены в электротехнических нишах</t>
  </si>
  <si>
    <t>3.21</t>
  </si>
  <si>
    <t>3.22</t>
  </si>
  <si>
    <t>3.23</t>
  </si>
  <si>
    <t>3.24</t>
  </si>
  <si>
    <t>3.25</t>
  </si>
  <si>
    <t>ВСЕГО:</t>
  </si>
  <si>
    <t>Дополнительные работы (если будут выявлены неучтенные работы)</t>
  </si>
  <si>
    <t xml:space="preserve">Облицовка стен керамогранитом (с учетом резов с дороботкой края алмазными дисками, выполнением отверстий для вывода кабеля для  установки извещателей, видеокамер и т.д). </t>
  </si>
  <si>
    <t>Материалы для укрывки пола (оргалит, скотч)</t>
  </si>
  <si>
    <t xml:space="preserve">Затирка Ceresit СЕ40 </t>
  </si>
  <si>
    <t>Потолок реечный: рейки , гребенки, соединительные элемент гребенки (давальческий материал)</t>
  </si>
  <si>
    <t>Расходные материалы (крепежные изделия: подвесы, дюбель-гвоздь )</t>
  </si>
  <si>
    <t>Монтаж плинтуса из алюминия</t>
  </si>
  <si>
    <t>Наклейка стеклохолста на стыках разнородных оснований на стенах МОП</t>
  </si>
  <si>
    <t>Клей для стеклообоев Semin Colle Toile De Verre, 20кг.</t>
  </si>
  <si>
    <t>кг.</t>
  </si>
  <si>
    <t>Стеклохолст малярный Semin Voiles De Verre V40</t>
  </si>
  <si>
    <t>3.11</t>
  </si>
  <si>
    <t>3.12</t>
  </si>
  <si>
    <t>3.13</t>
  </si>
  <si>
    <t>Угол декоративный индивидуального изготовления 14х14х2700 из алюминия с полимерной порошковой окраской в RAL (лазерная резка, гибка на станках с ЧПУ, окраска)</t>
  </si>
  <si>
    <t xml:space="preserve">Зеркало тонированное </t>
  </si>
  <si>
    <t>Монтаж номера этажа</t>
  </si>
  <si>
    <t>Итого:</t>
  </si>
  <si>
    <t>Комплектующие для потолка ГКЛВ (профиль, удлинитель профиля, соединители, подвесы, анкера, дюбеля, шурупы,  гипсокартоновый влагостойкий лист 12,5 мм и. тд.). Конструкция потолка разработана с учетом трековых светильников</t>
  </si>
  <si>
    <t>Комплектующие (профили, дюбеля, шурупы, ленты , гипсокартоновый влагостойкий лист 12,5 мм и. тд., клей )</t>
  </si>
  <si>
    <t>Облицовка нижних откосов (высотой до 100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устройством перехлёста одного слоя на стену и фиксацией на плиточный клей</t>
  </si>
  <si>
    <t>Облицовка боковых откосов (шириной до 250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устройством перехлёста одного слоя на стену и фиксацией на плиточный клей  (ниши для доступа к приборам учета водоснабжения и отопления в осях 14.1-16.1/К.1, 24.1/И.1-К.1)</t>
  </si>
  <si>
    <t>Облицовка верхних откосов (шириной до 150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 (ниши для доступа к приборам учета водоснабжения и отопления в осях 14.1-16.1/К.1, 24.1/И.1-К.1)</t>
  </si>
  <si>
    <t>Формирование боковых откосов полосами ГКЛВ 12,5мм на клей (ниши для доступа к  этажным электрическим щитам, ПК, выход на балкон кондиционирования)</t>
  </si>
  <si>
    <t>Формирование верхних откосов полосами ГКЛВ 12,5мм на клей (ниши для доступа к  этажным электрическим щитам, выход на балкон кондиционирования)</t>
  </si>
  <si>
    <t>Зашивка верхних откосов технических ниш листами ГКЛВ в один слой с тыльной стороны по металлическому каркасу (ниши для доступа к  ПК)</t>
  </si>
  <si>
    <t>Комплектующие (профили, дюбеля, шурупы, ленты , гипсокартоновый влагостойкий лист 12,5 мм и. тд.,)</t>
  </si>
  <si>
    <r>
      <t>Изготовление дверей в техниши размером  920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петлями</t>
    </r>
  </si>
  <si>
    <r>
      <t>Изготовление дверей в техниши размером  840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углом открывания петель не менее 165 градусов</t>
    </r>
    <r>
      <rPr>
        <sz val="11"/>
        <rFont val="Calibri"/>
        <family val="2"/>
        <charset val="204"/>
      </rPr>
      <t>)</t>
    </r>
  </si>
  <si>
    <r>
      <t>Изготовление дверей в техниши размером  1440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(2 двери), с петлями</t>
    </r>
  </si>
  <si>
    <r>
      <t>Изготовление дверей выхода на балкон кондиционирования размером  810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углом открывания петель не менее 165 градусов</t>
    </r>
    <r>
      <rPr>
        <sz val="11"/>
        <rFont val="Calibri"/>
        <family val="2"/>
        <charset val="204"/>
      </rPr>
      <t>)</t>
    </r>
  </si>
  <si>
    <t>Монтаж дверей  в техниши</t>
  </si>
  <si>
    <r>
      <t>Изготовление дверей в техниши размером  1100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2100 (1 дверь), с петлями и металлической вентиляционной решетой над дверью размером 1100</t>
    </r>
    <r>
      <rPr>
        <sz val="11"/>
        <rFont val="Calibri"/>
        <family val="2"/>
        <charset val="204"/>
      </rPr>
      <t>×450(h)</t>
    </r>
  </si>
  <si>
    <r>
      <t>Изготовление дверей в техниши размером  1200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петлями и металлической вентиляционной решетой над дверью размером 1200×450(h)</t>
    </r>
  </si>
  <si>
    <t>Герметик силиконовый Момент Гермент нейтральный универсальный, белый (280 мл)</t>
  </si>
  <si>
    <t>Алюминиевый плинтус h=60 мм черного цвета</t>
  </si>
  <si>
    <r>
      <t>Изготовление скрытого люка размером 340</t>
    </r>
    <r>
      <rPr>
        <sz val="11"/>
        <rFont val="Calibri"/>
        <family val="2"/>
        <charset val="204"/>
      </rPr>
      <t xml:space="preserve">×170 </t>
    </r>
    <r>
      <rPr>
        <sz val="11"/>
        <rFont val="Calibri"/>
        <family val="2"/>
        <charset val="204"/>
        <scheme val="minor"/>
      </rPr>
      <t>, с петлями</t>
    </r>
  </si>
  <si>
    <r>
      <t>Монтаж скрытого люка размером 340</t>
    </r>
    <r>
      <rPr>
        <b/>
        <sz val="11"/>
        <rFont val="Calibri"/>
        <family val="2"/>
        <charset val="204"/>
      </rPr>
      <t>×170 (h)</t>
    </r>
  </si>
  <si>
    <t>Нанесение декоративной штукатурки  с грунтованией поверхности на фасад скрытого люка размером 340×170 (h)</t>
  </si>
  <si>
    <t xml:space="preserve">Наклейка тонированного зеркала </t>
  </si>
  <si>
    <t>Наклейка тонированного зеркала шириной 200мм</t>
  </si>
  <si>
    <t>Алюминиевый плинтус h=30 мм черного цвета</t>
  </si>
  <si>
    <t>Герметик силиконовый Момент Гермент нейтральный универсальный (280 мл)</t>
  </si>
  <si>
    <r>
      <t>Профиль для плитки и керамогранита ЭлитПроф П-образный алюминиевый АКНП 10 10</t>
    </r>
    <r>
      <rPr>
        <sz val="11"/>
        <color theme="1"/>
        <rFont val="Calibri"/>
        <family val="2"/>
        <charset val="204"/>
      </rPr>
      <t>×10 мм длина 2,7 анодированное серебро</t>
    </r>
  </si>
  <si>
    <t>Монтаж над лифтовыми проёмами зеркального нержавеющего покрытия</t>
  </si>
  <si>
    <t xml:space="preserve">Зеркальное нержавеющее покрытие </t>
  </si>
  <si>
    <t>Крепежные элементы</t>
  </si>
  <si>
    <t>Монтаж боковых откосов лифтовых проёмов из металла толщиной 1 мм</t>
  </si>
  <si>
    <t>м</t>
  </si>
  <si>
    <t>Верхние откосы лифтовых проёмов из металла  цвета медь</t>
  </si>
  <si>
    <t>Подготовка поверхности  под покраску за декоративными элементами ( в том числе: грунтовние поверхности 2 раза; базовое шпатлевание,шлифование,  финишное шпатлевание, шлифование) шириной до 250 мм</t>
  </si>
  <si>
    <t>Окраска стены за декоративными элементами</t>
  </si>
  <si>
    <t>Краска Linnimax RAL 9010</t>
  </si>
  <si>
    <t>Краска Linnimax RAL 7043</t>
  </si>
  <si>
    <t>Монтаж декоративных элементов над боковыми откосами лифтовых проёмов из металла толщиной 1 мм</t>
  </si>
  <si>
    <t xml:space="preserve">Боковые откосы лифтовых проёмов из металла толщиной 1 мм цвета хром шлифованный </t>
  </si>
  <si>
    <t>Цифра металлическая объемная цвет медь (с материалами для монтажа)</t>
  </si>
  <si>
    <t>Монтаж декоративных объемных элеменов из металла цвета медь</t>
  </si>
  <si>
    <t>Декоративный объемный элемент из металла цвета медь (между коробом и стеной)</t>
  </si>
  <si>
    <t>Декоративный объемный элемент из металла цвета медь (между коробом и декоративным объемным элементом в который прячется подсветка)</t>
  </si>
  <si>
    <t>Декоративный объемный элемент из металла цвета медь (в который прячется подсветка)</t>
  </si>
  <si>
    <t>Монтаж полос на зеркале шириной 10 мм</t>
  </si>
  <si>
    <t>Полоса шириной 10 мм цвета медь</t>
  </si>
  <si>
    <t>Монтаж полос на зеркале шириной 15 мм</t>
  </si>
  <si>
    <t>Полоса шириной 15 мм цвета медь</t>
  </si>
  <si>
    <t>1.3</t>
  </si>
  <si>
    <t>1.4</t>
  </si>
  <si>
    <t>Монтаж дверей  с металлической вентиляционной решеткой  над ней в техниши</t>
  </si>
  <si>
    <t xml:space="preserve">Монтаж верхних откосов лифтовых проёмов из металла </t>
  </si>
  <si>
    <t>Декоратиные элементы над боковыми откосами лифтовых проёмов из металла толщиной 1 мм цвета хром шлифованный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</si>
  <si>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</si>
  <si>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</si>
  <si>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</si>
  <si>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</si>
  <si>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</si>
  <si>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</si>
  <si>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</si>
  <si>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</si>
  <si>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</si>
  <si>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</si>
  <si>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</si>
  <si>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</si>
  <si>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</si>
  <si>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</si>
  <si>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Клей монтажный Tytan Classic Fix (0,31 л)</t>
  </si>
  <si>
    <t>Облицовка из ГКЛВ  на металлическом каркасе  (короб), шириной до 600 мм</t>
  </si>
  <si>
    <t>3.40</t>
  </si>
  <si>
    <t>Декоративная штукатурка (1 слой краска-подложка Supercolor; 
2 cлой декоративная краска Biamax03+интерьерная краска Ultrasaten)</t>
  </si>
  <si>
    <t xml:space="preserve"> Устройство отверстий в керамограните размером 100×210 под панель вызова</t>
  </si>
  <si>
    <r>
      <t>Устройство отверстий в зеркальном нержавеющем покрытии размером 350</t>
    </r>
    <r>
      <rPr>
        <b/>
        <sz val="11"/>
        <color theme="1"/>
        <rFont val="Calibri"/>
        <family val="2"/>
        <charset val="204"/>
      </rPr>
      <t>×100 под панель индикации положения кабины</t>
    </r>
  </si>
  <si>
    <t>3.41</t>
  </si>
  <si>
    <t>2.4</t>
  </si>
  <si>
    <t>Шинопровод (давальческий материал)</t>
  </si>
  <si>
    <t>2.5</t>
  </si>
  <si>
    <t>Монтаж шинопровода для трековых светильников  с подключением к сети</t>
  </si>
  <si>
    <t>Подготовка поверхности  под нанесение декоративной штукатурки и окраске на стены и откосы дверей ( в том числе: грунтовние поверхности 2 раза; базовое шпатлевание,шлифование,  финишное шпатлевание, шлифование)</t>
  </si>
  <si>
    <t>Заполнение примыкающих стыков акриловой шпатлевкой (примыкание к квартирным дверям, дверям в лифтовые холлы)</t>
  </si>
  <si>
    <t>Заполнение примыкающих стыков силиконовой затиркой (примыкание к дверям в ЛК, коридоров, лифтов)</t>
  </si>
  <si>
    <t>Облицовка из ГКЛВ  на каркасе  (откосы лифтовых порталов), ширина откоса до 300 мм, толщиной до 100 мм</t>
  </si>
  <si>
    <t>Облицовка  над проёмами в технические ниши металлического каркаса листами ГКЛВ в два слоя с лицевой стороны и в один слой с тыльной стороны, с проклейкой листов ГКЛВ между собой, устройством перехлёста одного слоя на стену и фиксацией на плиточный клей (ниши для доступа к  ПК)</t>
  </si>
  <si>
    <t>Клей для зеркала, 300 мл</t>
  </si>
  <si>
    <t>Зашивка стояков канализации в квартирах листами ГКЛВ 12,5мм в 1 слой на металлическом каркасе без устройства закладных деталей</t>
  </si>
  <si>
    <t>Грунтование, заделка кромок листов ГКЛ, заделка саморезов на зашивках стояков (на сдир, за один проход, без последующего шлифования)</t>
  </si>
  <si>
    <t>грунтовка "Тифенгрунт" Кнауф 10 кг</t>
  </si>
  <si>
    <t>шпаклевка КНАУФ-Унихард</t>
  </si>
  <si>
    <t>Стены. Квартиры</t>
  </si>
  <si>
    <t>Светильник магнитный LED 12Вт 4000К LUX (давальческий материал)</t>
  </si>
  <si>
    <t>Монтаж магнитных светильников в трековые шинопроводы</t>
  </si>
  <si>
    <t>Монтаж картины</t>
  </si>
  <si>
    <t>Картина (давальческий материал)</t>
  </si>
  <si>
    <t>Полоса шириной 15 мм  RAL</t>
  </si>
  <si>
    <t>3.42</t>
  </si>
  <si>
    <t>3.43</t>
  </si>
  <si>
    <t>3.44</t>
  </si>
  <si>
    <t>3.45</t>
  </si>
  <si>
    <t>3.46</t>
  </si>
  <si>
    <t>Перегородка с однослойными обшивками из влагостойкого гипсокартона на одинарном КНАУФ-профиле С111 (обшивка с двух сторон)</t>
  </si>
  <si>
    <t>Подготовка поверхности  под финишную отделку ( в том числе: грунтовние поверхности 2 раза; базовое шпатлевание,шлифование,  финишное шпатлевание, шлифование) шириной до 250 мм</t>
  </si>
  <si>
    <t>Монтаж полос шириной 15 мм (возле картины)</t>
  </si>
  <si>
    <t>3.47</t>
  </si>
  <si>
    <t>П - образный Профиль из аллюминия черный матовый
размером 58(ширина)х60 (высота) для встроенного светильника стаканчика С064CL - 5WA4KRD-B</t>
  </si>
  <si>
    <t>2.6</t>
  </si>
  <si>
    <t>Монтаж П-образного профиля из алюминия (для монтажа светильников)</t>
  </si>
  <si>
    <t>Приложение №1 к договору подряда №</t>
  </si>
  <si>
    <t>СОГЛАСОВАНО:</t>
  </si>
  <si>
    <t xml:space="preserve">УТВЕРЖДАЮ: </t>
  </si>
  <si>
    <t xml:space="preserve">Директор управляющей организации ООО «Дом-Строй» </t>
  </si>
  <si>
    <t>____________________В.С. Бурмистров</t>
  </si>
  <si>
    <t>"_____"________________2026 г.</t>
  </si>
  <si>
    <t>Многоквартирный многоэтажный жилой дом с объектами обслуживания жилой застройки, автостоянкой и трансформаторной подстанцией в границах земельного участка с кадастровым номером 54:35:000000:41237 по адресу Новосибирская область, город Новосибирск, ул. Горская - 1 этап строительства</t>
  </si>
  <si>
    <t>(наименование стройки)</t>
  </si>
  <si>
    <t>ЛОКАЛЬНЫЙ СМЕТНЫЙ РАСЧЕТ №1</t>
  </si>
  <si>
    <t>на</t>
  </si>
  <si>
    <t>(наименование работ)</t>
  </si>
  <si>
    <t>устройство финишной отделки 4 этажа (вариант 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</si>
</sst>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name val="Helv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2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/>
    <xf numFmtId="0" fontId="2" fillId="2" borderId="17" xfId="0" applyFont="1" applyFill="1" applyBorder="1" applyAlignment="1">
      <alignment horizontal="centerContinuous"/>
    </xf>
    <xf numFmtId="2" fontId="0" fillId="0" borderId="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" fontId="0" fillId="0" borderId="10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4" fontId="0" fillId="2" borderId="17" xfId="0" applyNumberFormat="1" applyFill="1" applyBorder="1" applyAlignment="1">
      <alignment horizontal="centerContinuous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4" fontId="0" fillId="0" borderId="0" xfId="0" applyNumberFormat="1"/>
    <xf numFmtId="0" fontId="0" fillId="2" borderId="17" xfId="0" applyFill="1" applyBorder="1" applyAlignment="1">
      <alignment horizontal="centerContinuous" vertical="center"/>
    </xf>
    <xf numFmtId="2" fontId="0" fillId="2" borderId="17" xfId="0" applyNumberFormat="1" applyFill="1" applyBorder="1" applyAlignment="1">
      <alignment horizontal="centerContinuous" vertical="center"/>
    </xf>
    <xf numFmtId="0" fontId="1" fillId="0" borderId="2" xfId="0" applyFont="1" applyBorder="1"/>
    <xf numFmtId="2" fontId="0" fillId="0" borderId="2" xfId="0" applyNumberFormat="1" applyBorder="1" applyAlignment="1">
      <alignment horizontal="center" vertical="center"/>
    </xf>
    <xf numFmtId="4" fontId="0" fillId="0" borderId="2" xfId="0" applyNumberFormat="1" applyBorder="1"/>
    <xf numFmtId="4" fontId="0" fillId="0" borderId="2" xfId="0" applyNumberForma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4" fontId="0" fillId="0" borderId="3" xfId="0" applyNumberForma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0" fontId="0" fillId="0" borderId="21" xfId="0" applyBorder="1"/>
    <xf numFmtId="0" fontId="1" fillId="0" borderId="11" xfId="0" applyFont="1" applyBorder="1"/>
    <xf numFmtId="0" fontId="0" fillId="0" borderId="11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4" fontId="0" fillId="0" borderId="11" xfId="0" applyNumberFormat="1" applyBorder="1"/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0" borderId="11" xfId="0" applyBorder="1"/>
    <xf numFmtId="2" fontId="2" fillId="0" borderId="3" xfId="0" applyNumberFormat="1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49" fontId="0" fillId="0" borderId="8" xfId="0" applyNumberFormat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Continuous"/>
    </xf>
    <xf numFmtId="49" fontId="2" fillId="0" borderId="18" xfId="0" applyNumberFormat="1" applyFont="1" applyBorder="1" applyAlignment="1">
      <alignment horizontal="center" vertical="center"/>
    </xf>
    <xf numFmtId="49" fontId="0" fillId="0" borderId="21" xfId="0" applyNumberFormat="1" applyBorder="1"/>
    <xf numFmtId="49" fontId="0" fillId="0" borderId="19" xfId="0" applyNumberFormat="1" applyBorder="1"/>
    <xf numFmtId="49" fontId="0" fillId="0" borderId="0" xfId="0" applyNumberFormat="1"/>
    <xf numFmtId="0" fontId="0" fillId="0" borderId="1" xfId="0" applyBorder="1" applyAlignment="1">
      <alignment wrapText="1"/>
    </xf>
    <xf numFmtId="49" fontId="0" fillId="0" borderId="22" xfId="0" applyNumberFormat="1" applyBorder="1"/>
    <xf numFmtId="4" fontId="0" fillId="0" borderId="23" xfId="0" applyNumberForma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" fontId="0" fillId="0" borderId="6" xfId="0" applyNumberFormat="1" applyBorder="1"/>
    <xf numFmtId="4" fontId="0" fillId="0" borderId="7" xfId="0" applyNumberFormat="1" applyBorder="1"/>
    <xf numFmtId="4" fontId="2" fillId="0" borderId="3" xfId="0" applyNumberFormat="1" applyFont="1" applyBorder="1" applyAlignment="1">
      <alignment horizontal="center" vertical="center"/>
    </xf>
    <xf numFmtId="4" fontId="2" fillId="0" borderId="6" xfId="0" applyNumberFormat="1" applyFont="1" applyBorder="1"/>
    <xf numFmtId="4" fontId="2" fillId="0" borderId="7" xfId="0" applyNumberFormat="1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center" wrapText="1"/>
    </xf>
    <xf numFmtId="49" fontId="2" fillId="0" borderId="24" xfId="0" applyNumberFormat="1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4" fontId="0" fillId="0" borderId="5" xfId="0" applyNumberFormat="1" applyBorder="1"/>
    <xf numFmtId="4" fontId="0" fillId="0" borderId="31" xfId="0" applyNumberFormat="1" applyBorder="1"/>
    <xf numFmtId="2" fontId="2" fillId="0" borderId="5" xfId="0" applyNumberFormat="1" applyFont="1" applyBorder="1" applyAlignment="1">
      <alignment horizontal="center" vertical="center"/>
    </xf>
    <xf numFmtId="49" fontId="0" fillId="4" borderId="28" xfId="0" applyNumberFormat="1" applyFill="1" applyBorder="1" applyAlignment="1">
      <alignment horizontal="centerContinuous"/>
    </xf>
    <xf numFmtId="0" fontId="2" fillId="4" borderId="29" xfId="0" applyFont="1" applyFill="1" applyBorder="1" applyAlignment="1">
      <alignment horizontal="centerContinuous"/>
    </xf>
    <xf numFmtId="0" fontId="0" fillId="4" borderId="29" xfId="0" applyFill="1" applyBorder="1" applyAlignment="1">
      <alignment horizontal="centerContinuous" vertical="center"/>
    </xf>
    <xf numFmtId="2" fontId="0" fillId="4" borderId="29" xfId="0" applyNumberFormat="1" applyFill="1" applyBorder="1" applyAlignment="1">
      <alignment horizontal="centerContinuous" vertical="center"/>
    </xf>
    <xf numFmtId="4" fontId="0" fillId="4" borderId="29" xfId="0" applyNumberFormat="1" applyFill="1" applyBorder="1" applyAlignment="1">
      <alignment horizontal="centerContinuous"/>
    </xf>
    <xf numFmtId="4" fontId="0" fillId="4" borderId="30" xfId="0" applyNumberFormat="1" applyFill="1" applyBorder="1" applyAlignment="1">
      <alignment horizontal="centerContinuous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9" fontId="0" fillId="0" borderId="8" xfId="0" applyNumberFormat="1" applyBorder="1"/>
    <xf numFmtId="0" fontId="3" fillId="0" borderId="6" xfId="0" applyFont="1" applyFill="1" applyBorder="1" applyAlignment="1">
      <alignment wrapText="1"/>
    </xf>
    <xf numFmtId="0" fontId="2" fillId="0" borderId="6" xfId="0" applyFont="1" applyFill="1" applyBorder="1"/>
    <xf numFmtId="49" fontId="0" fillId="3" borderId="26" xfId="0" applyNumberForma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0" fillId="3" borderId="0" xfId="0" applyFill="1" applyBorder="1" applyAlignment="1">
      <alignment horizontal="centerContinuous" vertical="center"/>
    </xf>
    <xf numFmtId="2" fontId="0" fillId="3" borderId="0" xfId="0" applyNumberFormat="1" applyFill="1" applyBorder="1" applyAlignment="1">
      <alignment horizontal="centerContinuous" vertical="center"/>
    </xf>
    <xf numFmtId="4" fontId="0" fillId="3" borderId="0" xfId="0" applyNumberFormat="1" applyFill="1" applyBorder="1" applyAlignment="1">
      <alignment horizontal="centerContinuous"/>
    </xf>
    <xf numFmtId="4" fontId="0" fillId="3" borderId="27" xfId="0" applyNumberFormat="1" applyFill="1" applyBorder="1" applyAlignment="1">
      <alignment horizontal="centerContinuous"/>
    </xf>
    <xf numFmtId="0" fontId="3" fillId="0" borderId="6" xfId="0" applyFont="1" applyBorder="1"/>
    <xf numFmtId="4" fontId="0" fillId="0" borderId="3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6" xfId="0" applyFont="1" applyFill="1" applyBorder="1" applyAlignment="1">
      <alignment wrapText="1"/>
    </xf>
    <xf numFmtId="49" fontId="0" fillId="0" borderId="34" xfId="0" applyNumberFormat="1" applyBorder="1"/>
    <xf numFmtId="2" fontId="0" fillId="0" borderId="32" xfId="0" applyNumberForma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6" fillId="0" borderId="32" xfId="0" applyFont="1" applyFill="1" applyBorder="1"/>
    <xf numFmtId="4" fontId="0" fillId="0" borderId="32" xfId="0" applyNumberFormat="1" applyBorder="1"/>
    <xf numFmtId="4" fontId="2" fillId="0" borderId="33" xfId="0" applyNumberFormat="1" applyFont="1" applyBorder="1" applyAlignment="1">
      <alignment horizontal="center" vertical="center"/>
    </xf>
    <xf numFmtId="4" fontId="0" fillId="2" borderId="35" xfId="0" applyNumberFormat="1" applyFill="1" applyBorder="1" applyAlignment="1">
      <alignment horizontal="centerContinuous"/>
    </xf>
    <xf numFmtId="49" fontId="2" fillId="0" borderId="18" xfId="0" applyNumberFormat="1" applyFont="1" applyBorder="1" applyAlignment="1">
      <alignment horizontal="center"/>
    </xf>
    <xf numFmtId="0" fontId="2" fillId="0" borderId="5" xfId="0" applyFont="1" applyBorder="1" applyAlignment="1">
      <alignment wrapText="1"/>
    </xf>
    <xf numFmtId="4" fontId="2" fillId="0" borderId="5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Continuous"/>
    </xf>
    <xf numFmtId="0" fontId="2" fillId="3" borderId="14" xfId="0" applyFont="1" applyFill="1" applyBorder="1" applyAlignment="1">
      <alignment horizontal="centerContinuous"/>
    </xf>
    <xf numFmtId="0" fontId="0" fillId="3" borderId="14" xfId="0" applyFill="1" applyBorder="1" applyAlignment="1">
      <alignment horizontal="centerContinuous" vertical="center"/>
    </xf>
    <xf numFmtId="2" fontId="0" fillId="3" borderId="14" xfId="0" applyNumberFormat="1" applyFill="1" applyBorder="1" applyAlignment="1">
      <alignment horizontal="centerContinuous" vertical="center"/>
    </xf>
    <xf numFmtId="4" fontId="0" fillId="3" borderId="14" xfId="0" applyNumberFormat="1" applyFill="1" applyBorder="1" applyAlignment="1">
      <alignment horizontal="centerContinuous"/>
    </xf>
    <xf numFmtId="4" fontId="0" fillId="3" borderId="15" xfId="0" applyNumberFormat="1" applyFill="1" applyBorder="1" applyAlignment="1">
      <alignment horizontal="centerContinuous"/>
    </xf>
    <xf numFmtId="0" fontId="1" fillId="0" borderId="2" xfId="0" applyFont="1" applyBorder="1" applyAlignment="1">
      <alignment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" fontId="0" fillId="0" borderId="36" xfId="0" applyNumberFormat="1" applyBorder="1"/>
    <xf numFmtId="4" fontId="0" fillId="0" borderId="36" xfId="0" applyNumberFormat="1" applyBorder="1" applyAlignment="1">
      <alignment horizontal="center" vertical="center"/>
    </xf>
    <xf numFmtId="49" fontId="2" fillId="6" borderId="1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wrapText="1"/>
    </xf>
    <xf numFmtId="0" fontId="2" fillId="6" borderId="6" xfId="0" applyFont="1" applyFill="1" applyBorder="1" applyAlignment="1">
      <alignment horizontal="center" vertical="center"/>
    </xf>
    <xf numFmtId="4" fontId="2" fillId="6" borderId="6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 applyAlignment="1">
      <alignment horizontal="center" vertical="center"/>
    </xf>
    <xf numFmtId="0" fontId="0" fillId="6" borderId="0" xfId="0" applyFill="1"/>
    <xf numFmtId="2" fontId="0" fillId="6" borderId="0" xfId="0" applyNumberFormat="1" applyFill="1" applyAlignment="1">
      <alignment horizontal="center"/>
    </xf>
    <xf numFmtId="49" fontId="2" fillId="6" borderId="19" xfId="0" applyNumberFormat="1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4" fontId="0" fillId="6" borderId="20" xfId="0" applyNumberFormat="1" applyFill="1" applyBorder="1" applyAlignment="1">
      <alignment horizontal="center" vertical="center"/>
    </xf>
    <xf numFmtId="49" fontId="2" fillId="6" borderId="21" xfId="0" applyNumberFormat="1" applyFont="1" applyFill="1" applyBorder="1" applyAlignment="1">
      <alignment horizontal="center" vertical="center"/>
    </xf>
    <xf numFmtId="0" fontId="0" fillId="6" borderId="11" xfId="0" applyFill="1" applyBorder="1"/>
    <xf numFmtId="0" fontId="0" fillId="6" borderId="11" xfId="0" applyFill="1" applyBorder="1" applyAlignment="1">
      <alignment horizontal="center" vertical="center"/>
    </xf>
    <xf numFmtId="4" fontId="0" fillId="6" borderId="11" xfId="0" applyNumberFormat="1" applyFill="1" applyBorder="1" applyAlignment="1">
      <alignment horizontal="center" vertical="center"/>
    </xf>
    <xf numFmtId="4" fontId="0" fillId="6" borderId="12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49" fontId="1" fillId="6" borderId="21" xfId="0" applyNumberFormat="1" applyFont="1" applyFill="1" applyBorder="1"/>
    <xf numFmtId="4" fontId="1" fillId="6" borderId="11" xfId="0" applyNumberFormat="1" applyFont="1" applyFill="1" applyBorder="1"/>
    <xf numFmtId="0" fontId="1" fillId="6" borderId="0" xfId="0" applyFont="1" applyFill="1"/>
    <xf numFmtId="2" fontId="1" fillId="6" borderId="0" xfId="0" applyNumberFormat="1" applyFont="1" applyFill="1" applyAlignment="1">
      <alignment horizontal="center" vertical="center" wrapText="1"/>
    </xf>
    <xf numFmtId="0" fontId="4" fillId="6" borderId="11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horizontal="center" vertical="center"/>
    </xf>
    <xf numFmtId="4" fontId="4" fillId="6" borderId="1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49" fontId="0" fillId="0" borderId="37" xfId="0" applyNumberFormat="1" applyBorder="1"/>
    <xf numFmtId="0" fontId="0" fillId="0" borderId="36" xfId="0" applyFont="1" applyBorder="1" applyAlignment="1">
      <alignment wrapText="1"/>
    </xf>
    <xf numFmtId="2" fontId="0" fillId="0" borderId="36" xfId="0" applyNumberFormat="1" applyFon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0" fontId="7" fillId="0" borderId="32" xfId="0" applyFont="1" applyBorder="1"/>
    <xf numFmtId="4" fontId="2" fillId="0" borderId="32" xfId="0" applyNumberFormat="1" applyFont="1" applyBorder="1" applyAlignment="1">
      <alignment horizontal="center" vertical="center"/>
    </xf>
    <xf numFmtId="49" fontId="0" fillId="0" borderId="39" xfId="0" applyNumberFormat="1" applyBorder="1"/>
    <xf numFmtId="4" fontId="0" fillId="0" borderId="40" xfId="0" applyNumberFormat="1" applyBorder="1" applyAlignment="1">
      <alignment horizontal="center" vertical="center"/>
    </xf>
    <xf numFmtId="0" fontId="2" fillId="0" borderId="36" xfId="0" applyFont="1" applyBorder="1" applyAlignment="1">
      <alignment wrapText="1"/>
    </xf>
    <xf numFmtId="0" fontId="2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0" fillId="0" borderId="18" xfId="0" applyNumberFormat="1" applyBorder="1"/>
    <xf numFmtId="0" fontId="3" fillId="0" borderId="6" xfId="0" applyFont="1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4" fontId="0" fillId="0" borderId="9" xfId="0" applyNumberFormat="1" applyBorder="1"/>
    <xf numFmtId="0" fontId="3" fillId="0" borderId="6" xfId="0" applyFont="1" applyBorder="1" applyAlignment="1">
      <alignment vertical="top"/>
    </xf>
    <xf numFmtId="2" fontId="2" fillId="0" borderId="5" xfId="0" applyNumberFormat="1" applyFont="1" applyFill="1" applyBorder="1" applyAlignment="1">
      <alignment horizontal="center" vertical="center"/>
    </xf>
    <xf numFmtId="2" fontId="0" fillId="0" borderId="36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1" xfId="0" applyFill="1" applyBorder="1"/>
    <xf numFmtId="0" fontId="0" fillId="0" borderId="9" xfId="0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36" xfId="0" applyFill="1" applyBorder="1" applyAlignment="1">
      <alignment wrapText="1"/>
    </xf>
    <xf numFmtId="0" fontId="0" fillId="0" borderId="36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/>
    <xf numFmtId="49" fontId="1" fillId="6" borderId="19" xfId="0" applyNumberFormat="1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2" fillId="0" borderId="2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49" fontId="2" fillId="0" borderId="2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2" fontId="0" fillId="0" borderId="11" xfId="0" applyNumberFormat="1" applyFont="1" applyBorder="1" applyAlignment="1">
      <alignment horizontal="center" vertical="center"/>
    </xf>
    <xf numFmtId="0" fontId="12" fillId="6" borderId="1" xfId="1" applyFont="1" applyFill="1" applyBorder="1" applyAlignment="1">
      <alignment horizontal="left" wrapText="1"/>
    </xf>
    <xf numFmtId="0" fontId="12" fillId="6" borderId="1" xfId="1" applyFont="1" applyFill="1" applyBorder="1" applyAlignment="1">
      <alignment horizontal="center" wrapText="1"/>
    </xf>
    <xf numFmtId="2" fontId="0" fillId="0" borderId="2" xfId="0" applyNumberFormat="1" applyFont="1" applyBorder="1" applyAlignment="1">
      <alignment horizontal="center" vertical="center"/>
    </xf>
    <xf numFmtId="49" fontId="0" fillId="5" borderId="28" xfId="0" applyNumberFormat="1" applyFill="1" applyBorder="1" applyAlignment="1">
      <alignment horizontal="centerContinuous"/>
    </xf>
    <xf numFmtId="0" fontId="2" fillId="5" borderId="29" xfId="0" applyFont="1" applyFill="1" applyBorder="1" applyAlignment="1">
      <alignment horizontal="centerContinuous"/>
    </xf>
    <xf numFmtId="0" fontId="0" fillId="5" borderId="29" xfId="0" applyFill="1" applyBorder="1" applyAlignment="1">
      <alignment horizontal="centerContinuous" vertical="center"/>
    </xf>
    <xf numFmtId="2" fontId="0" fillId="5" borderId="29" xfId="0" applyNumberFormat="1" applyFill="1" applyBorder="1" applyAlignment="1">
      <alignment horizontal="centerContinuous" vertical="center"/>
    </xf>
    <xf numFmtId="4" fontId="0" fillId="5" borderId="29" xfId="0" applyNumberFormat="1" applyFill="1" applyBorder="1" applyAlignment="1">
      <alignment horizontal="centerContinuous"/>
    </xf>
    <xf numFmtId="4" fontId="0" fillId="5" borderId="30" xfId="0" applyNumberFormat="1" applyFill="1" applyBorder="1" applyAlignment="1">
      <alignment horizontal="centerContinuous"/>
    </xf>
    <xf numFmtId="0" fontId="1" fillId="6" borderId="1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top"/>
    </xf>
    <xf numFmtId="0" fontId="12" fillId="6" borderId="2" xfId="1" applyFont="1" applyFill="1" applyBorder="1" applyAlignment="1">
      <alignment horizontal="left" wrapText="1"/>
    </xf>
    <xf numFmtId="0" fontId="12" fillId="6" borderId="2" xfId="1" applyFont="1" applyFill="1" applyBorder="1" applyAlignment="1">
      <alignment horizontal="center" wrapText="1"/>
    </xf>
    <xf numFmtId="0" fontId="13" fillId="6" borderId="6" xfId="1" applyFont="1" applyFill="1" applyBorder="1" applyAlignment="1">
      <alignment horizontal="center" vertical="center" wrapText="1"/>
    </xf>
    <xf numFmtId="0" fontId="12" fillId="6" borderId="11" xfId="1" applyFont="1" applyFill="1" applyBorder="1" applyAlignment="1">
      <alignment horizontal="center" vertical="center" wrapText="1"/>
    </xf>
    <xf numFmtId="0" fontId="13" fillId="6" borderId="6" xfId="1" applyFont="1" applyFill="1" applyBorder="1" applyAlignment="1">
      <alignment horizontal="left" wrapText="1"/>
    </xf>
    <xf numFmtId="0" fontId="0" fillId="0" borderId="19" xfId="0" applyBorder="1"/>
    <xf numFmtId="0" fontId="4" fillId="0" borderId="11" xfId="0" applyFont="1" applyBorder="1" applyAlignment="1">
      <alignment vertical="center" wrapText="1"/>
    </xf>
    <xf numFmtId="4" fontId="2" fillId="0" borderId="3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14" fillId="6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64" fontId="14" fillId="7" borderId="0" xfId="0" applyNumberFormat="1" applyFont="1" applyFill="1" applyAlignment="1">
      <alignment horizontal="center" wrapText="1"/>
    </xf>
    <xf numFmtId="4" fontId="14" fillId="7" borderId="0" xfId="0" applyNumberFormat="1" applyFont="1" applyFill="1" applyAlignment="1">
      <alignment horizontal="center" wrapText="1"/>
    </xf>
    <xf numFmtId="0" fontId="15" fillId="0" borderId="0" xfId="0" applyFont="1" applyAlignment="1">
      <alignment wrapText="1"/>
    </xf>
    <xf numFmtId="0" fontId="16" fillId="6" borderId="0" xfId="0" applyFont="1" applyFill="1"/>
    <xf numFmtId="0" fontId="1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 wrapText="1"/>
    </xf>
    <xf numFmtId="0" fontId="14" fillId="6" borderId="0" xfId="0" applyFont="1" applyFill="1"/>
    <xf numFmtId="0" fontId="14" fillId="0" borderId="0" xfId="0" applyFont="1" applyAlignment="1">
      <alignment horizontal="center"/>
    </xf>
    <xf numFmtId="0" fontId="11" fillId="0" borderId="0" xfId="1"/>
    <xf numFmtId="0" fontId="14" fillId="7" borderId="0" xfId="0" applyFont="1" applyFill="1" applyAlignment="1">
      <alignment wrapText="1"/>
    </xf>
    <xf numFmtId="2" fontId="14" fillId="7" borderId="0" xfId="0" applyNumberFormat="1" applyFont="1" applyFill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2" fontId="14" fillId="0" borderId="0" xfId="0" applyNumberFormat="1" applyFont="1" applyAlignment="1">
      <alignment horizontal="center" vertical="top" wrapText="1"/>
    </xf>
    <xf numFmtId="2" fontId="14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4" fillId="0" borderId="0" xfId="0" applyFont="1"/>
    <xf numFmtId="49" fontId="0" fillId="0" borderId="41" xfId="0" applyNumberFormat="1" applyBorder="1" applyAlignment="1">
      <alignment horizontal="center" wrapText="1"/>
    </xf>
    <xf numFmtId="49" fontId="17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49" fontId="17" fillId="0" borderId="42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_Бюджеты" xfId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4"/>
  <sheetViews>
    <sheetView tabSelected="1" view="pageBreakPreview" zoomScale="85" zoomScaleNormal="85" zoomScaleSheetLayoutView="85" workbookViewId="0">
      <selection activeCell="B14" sqref="B14"/>
    </sheetView>
  </sheetViews>
  <sheetFormatPr defaultRowHeight="15" x14ac:dyDescent="0.25"/>
  <cols>
    <col min="1" max="1" width="7.7109375" style="48" customWidth="1"/>
    <col min="2" max="2" width="69.7109375" customWidth="1"/>
    <col min="3" max="3" width="8.42578125" style="1" customWidth="1"/>
    <col min="4" max="4" width="13.28515625" style="11" customWidth="1"/>
    <col min="5" max="5" width="18.85546875" style="17" customWidth="1"/>
    <col min="6" max="6" width="19.140625" style="17" customWidth="1"/>
    <col min="7" max="7" width="18.5703125" style="17" customWidth="1"/>
    <col min="8" max="8" width="20" style="17" customWidth="1"/>
  </cols>
  <sheetData>
    <row r="1" spans="1:8" x14ac:dyDescent="0.25">
      <c r="E1" s="222" t="s">
        <v>200</v>
      </c>
      <c r="F1" s="222"/>
      <c r="G1" s="222"/>
      <c r="H1" s="222"/>
    </row>
    <row r="2" spans="1:8" s="228" customFormat="1" ht="21.75" customHeight="1" x14ac:dyDescent="0.25">
      <c r="A2" s="223"/>
      <c r="B2" s="224"/>
      <c r="C2" s="224"/>
      <c r="D2" s="224"/>
      <c r="E2" s="225"/>
      <c r="F2" s="226"/>
      <c r="G2" s="227"/>
      <c r="H2" s="227"/>
    </row>
    <row r="3" spans="1:8" s="228" customFormat="1" ht="21.75" customHeight="1" x14ac:dyDescent="0.25">
      <c r="A3" s="229" t="s">
        <v>201</v>
      </c>
      <c r="B3" s="230"/>
      <c r="C3" s="230"/>
      <c r="D3" s="224"/>
      <c r="E3" s="231"/>
      <c r="F3" s="232" t="s">
        <v>202</v>
      </c>
      <c r="G3" s="233"/>
      <c r="H3" s="227"/>
    </row>
    <row r="4" spans="1:8" s="228" customFormat="1" ht="15.75" x14ac:dyDescent="0.25">
      <c r="A4" s="234"/>
      <c r="B4" s="231"/>
      <c r="C4" s="231"/>
      <c r="D4" s="224"/>
      <c r="E4" s="225"/>
      <c r="F4" s="235" t="s">
        <v>203</v>
      </c>
      <c r="G4" s="235"/>
      <c r="H4" s="235"/>
    </row>
    <row r="5" spans="1:8" s="228" customFormat="1" ht="15.75" x14ac:dyDescent="0.25">
      <c r="A5" s="234"/>
      <c r="B5" s="236"/>
      <c r="C5" s="237"/>
      <c r="D5" s="224"/>
      <c r="E5" s="225"/>
      <c r="F5" s="238"/>
      <c r="G5" s="227"/>
      <c r="H5" s="227"/>
    </row>
    <row r="6" spans="1:8" s="228" customFormat="1" ht="15.75" x14ac:dyDescent="0.25">
      <c r="A6" s="234"/>
      <c r="B6" s="231"/>
      <c r="C6" s="231"/>
      <c r="D6" s="239"/>
      <c r="E6" s="240"/>
      <c r="F6" s="241" t="s">
        <v>204</v>
      </c>
      <c r="G6" s="241"/>
      <c r="H6" s="241"/>
    </row>
    <row r="7" spans="1:8" s="228" customFormat="1" ht="15.75" x14ac:dyDescent="0.25">
      <c r="A7" s="234" t="s">
        <v>205</v>
      </c>
      <c r="B7" s="239"/>
      <c r="C7" s="231"/>
      <c r="D7" s="242"/>
      <c r="E7" s="225"/>
      <c r="F7" s="243" t="s">
        <v>205</v>
      </c>
      <c r="H7" s="243"/>
    </row>
    <row r="10" spans="1:8" ht="33.75" customHeight="1" x14ac:dyDescent="0.25">
      <c r="A10" s="244" t="s">
        <v>206</v>
      </c>
      <c r="B10" s="244"/>
      <c r="C10" s="244"/>
      <c r="D10" s="244"/>
      <c r="E10" s="244"/>
      <c r="F10" s="244"/>
      <c r="G10" s="244"/>
      <c r="H10" s="244"/>
    </row>
    <row r="11" spans="1:8" x14ac:dyDescent="0.25">
      <c r="A11" s="245" t="s">
        <v>207</v>
      </c>
      <c r="B11" s="245"/>
      <c r="C11" s="245"/>
      <c r="D11" s="245"/>
      <c r="E11" s="245"/>
      <c r="F11" s="245"/>
      <c r="G11" s="245"/>
      <c r="H11" s="245"/>
    </row>
    <row r="13" spans="1:8" ht="24.75" customHeight="1" x14ac:dyDescent="0.25">
      <c r="A13" s="246" t="s">
        <v>208</v>
      </c>
      <c r="B13" s="246"/>
      <c r="C13" s="246"/>
      <c r="D13" s="246"/>
      <c r="E13" s="246"/>
      <c r="F13" s="246"/>
      <c r="G13" s="246"/>
      <c r="H13" s="246"/>
    </row>
    <row r="14" spans="1:8" ht="15" customHeight="1" x14ac:dyDescent="0.25">
      <c r="A14"/>
      <c r="B14" s="247"/>
      <c r="C14" s="247"/>
      <c r="D14" s="247"/>
      <c r="E14" s="247"/>
      <c r="F14" s="247"/>
      <c r="G14" s="247"/>
      <c r="H14" s="247"/>
    </row>
    <row r="15" spans="1:8" ht="24.75" customHeight="1" x14ac:dyDescent="0.25">
      <c r="A15" s="247" t="s">
        <v>209</v>
      </c>
      <c r="B15" s="248" t="s">
        <v>211</v>
      </c>
      <c r="C15" s="248"/>
      <c r="D15" s="248"/>
      <c r="E15" s="248"/>
      <c r="F15" s="248"/>
      <c r="G15" s="248"/>
      <c r="H15" s="248"/>
    </row>
    <row r="16" spans="1:8" ht="15.75" customHeight="1" x14ac:dyDescent="0.25">
      <c r="A16" s="247"/>
      <c r="B16" s="249" t="s">
        <v>210</v>
      </c>
      <c r="C16" s="249"/>
      <c r="D16" s="249"/>
      <c r="E16" s="249"/>
      <c r="F16" s="249"/>
      <c r="G16" s="249"/>
      <c r="H16" s="249"/>
    </row>
    <row r="18" spans="1:8" ht="97.5" customHeight="1" thickBot="1" x14ac:dyDescent="0.3">
      <c r="A18" s="43" t="s">
        <v>3</v>
      </c>
      <c r="B18" s="6" t="s">
        <v>2</v>
      </c>
      <c r="C18" s="6" t="s">
        <v>1</v>
      </c>
      <c r="D18" s="10" t="s">
        <v>0</v>
      </c>
      <c r="E18" s="12" t="s">
        <v>9</v>
      </c>
      <c r="F18" s="13" t="s">
        <v>11</v>
      </c>
      <c r="G18" s="13" t="s">
        <v>10</v>
      </c>
      <c r="H18" s="13" t="s">
        <v>12</v>
      </c>
    </row>
    <row r="19" spans="1:8" ht="15.75" thickBot="1" x14ac:dyDescent="0.3">
      <c r="A19" s="44"/>
      <c r="B19" s="8" t="s">
        <v>4</v>
      </c>
      <c r="C19" s="18"/>
      <c r="D19" s="19"/>
      <c r="E19" s="14"/>
      <c r="F19" s="14"/>
      <c r="G19" s="14"/>
      <c r="H19" s="14"/>
    </row>
    <row r="20" spans="1:8" x14ac:dyDescent="0.25">
      <c r="A20" s="45" t="s">
        <v>20</v>
      </c>
      <c r="B20" s="27" t="s">
        <v>5</v>
      </c>
      <c r="C20" s="28" t="s">
        <v>7</v>
      </c>
      <c r="D20" s="29">
        <f>20.43+29.93+
1.01*0.03*11+N("в проем квартирных дверей")</f>
        <v>50.693300000000001</v>
      </c>
      <c r="E20" s="30">
        <v>0</v>
      </c>
      <c r="F20" s="30">
        <f>D20*E20</f>
        <v>0</v>
      </c>
      <c r="G20" s="30"/>
      <c r="H20" s="31"/>
    </row>
    <row r="21" spans="1:8" ht="15.75" thickBot="1" x14ac:dyDescent="0.3">
      <c r="A21" s="46"/>
      <c r="B21" s="40" t="s">
        <v>6</v>
      </c>
      <c r="C21" s="35" t="s">
        <v>8</v>
      </c>
      <c r="D21" s="36">
        <f>0.2*D20</f>
        <v>10.138660000000002</v>
      </c>
      <c r="E21" s="38"/>
      <c r="F21" s="38"/>
      <c r="G21" s="38">
        <v>0</v>
      </c>
      <c r="H21" s="39">
        <f>D21*G21</f>
        <v>0</v>
      </c>
    </row>
    <row r="22" spans="1:8" ht="30" x14ac:dyDescent="0.25">
      <c r="A22" s="45" t="s">
        <v>21</v>
      </c>
      <c r="B22" s="58" t="s">
        <v>65</v>
      </c>
      <c r="C22" s="28" t="s">
        <v>7</v>
      </c>
      <c r="D22" s="29">
        <f>D20</f>
        <v>50.693300000000001</v>
      </c>
      <c r="E22" s="30">
        <v>0</v>
      </c>
      <c r="F22" s="30">
        <f>D22*E22</f>
        <v>0</v>
      </c>
      <c r="G22" s="30"/>
      <c r="H22" s="31"/>
    </row>
    <row r="23" spans="1:8" x14ac:dyDescent="0.25">
      <c r="A23" s="47"/>
      <c r="B23" s="7" t="s">
        <v>13</v>
      </c>
      <c r="C23" s="2" t="s">
        <v>15</v>
      </c>
      <c r="D23" s="9">
        <f>5.5*D22</f>
        <v>278.81315000000001</v>
      </c>
      <c r="E23" s="15"/>
      <c r="F23" s="15"/>
      <c r="G23" s="15">
        <v>0</v>
      </c>
      <c r="H23" s="32">
        <f>D23*G23</f>
        <v>0</v>
      </c>
    </row>
    <row r="24" spans="1:8" x14ac:dyDescent="0.25">
      <c r="A24" s="47"/>
      <c r="B24" s="7" t="s">
        <v>80</v>
      </c>
      <c r="C24" s="2" t="s">
        <v>15</v>
      </c>
      <c r="D24" s="9">
        <f>0.4*D22</f>
        <v>20.277320000000003</v>
      </c>
      <c r="E24" s="16"/>
      <c r="F24" s="16"/>
      <c r="G24" s="15">
        <v>0</v>
      </c>
      <c r="H24" s="32">
        <f>D24*G24</f>
        <v>0</v>
      </c>
    </row>
    <row r="25" spans="1:8" ht="15.75" thickBot="1" x14ac:dyDescent="0.3">
      <c r="A25" s="46"/>
      <c r="B25" s="34" t="s">
        <v>14</v>
      </c>
      <c r="C25" s="35" t="s">
        <v>7</v>
      </c>
      <c r="D25" s="36">
        <f>D22*1.05</f>
        <v>53.227965000000005</v>
      </c>
      <c r="E25" s="37"/>
      <c r="F25" s="37"/>
      <c r="G25" s="38">
        <v>0</v>
      </c>
      <c r="H25" s="39">
        <f>D25*G25</f>
        <v>0</v>
      </c>
    </row>
    <row r="26" spans="1:8" ht="15.75" thickBot="1" x14ac:dyDescent="0.3">
      <c r="A26" s="44"/>
      <c r="B26" s="8" t="s">
        <v>18</v>
      </c>
      <c r="C26" s="18"/>
      <c r="D26" s="19"/>
      <c r="E26" s="14"/>
      <c r="F26" s="14"/>
      <c r="G26" s="14"/>
      <c r="H26" s="14"/>
    </row>
    <row r="27" spans="1:8" x14ac:dyDescent="0.25">
      <c r="A27" s="45" t="s">
        <v>142</v>
      </c>
      <c r="B27" s="27" t="s">
        <v>5</v>
      </c>
      <c r="C27" s="28" t="s">
        <v>7</v>
      </c>
      <c r="D27" s="29">
        <v>24.06</v>
      </c>
      <c r="E27" s="30">
        <v>0</v>
      </c>
      <c r="F27" s="30">
        <f>D27*E27</f>
        <v>0</v>
      </c>
      <c r="G27" s="30"/>
      <c r="H27" s="31"/>
    </row>
    <row r="28" spans="1:8" ht="15.75" thickBot="1" x14ac:dyDescent="0.3">
      <c r="A28" s="46"/>
      <c r="B28" s="40" t="s">
        <v>6</v>
      </c>
      <c r="C28" s="35" t="s">
        <v>8</v>
      </c>
      <c r="D28" s="36">
        <f>0.2*D27</f>
        <v>4.8120000000000003</v>
      </c>
      <c r="E28" s="38"/>
      <c r="F28" s="38"/>
      <c r="G28" s="38">
        <v>0</v>
      </c>
      <c r="H28" s="39">
        <f>D28*G28</f>
        <v>0</v>
      </c>
    </row>
    <row r="29" spans="1:8" ht="30" x14ac:dyDescent="0.25">
      <c r="A29" s="45" t="s">
        <v>143</v>
      </c>
      <c r="B29" s="58" t="s">
        <v>65</v>
      </c>
      <c r="C29" s="28" t="s">
        <v>7</v>
      </c>
      <c r="D29" s="29">
        <f>D27</f>
        <v>24.06</v>
      </c>
      <c r="E29" s="30">
        <v>0</v>
      </c>
      <c r="F29" s="30">
        <f>D29*E29</f>
        <v>0</v>
      </c>
      <c r="G29" s="30"/>
      <c r="H29" s="31"/>
    </row>
    <row r="30" spans="1:8" x14ac:dyDescent="0.25">
      <c r="A30" s="47"/>
      <c r="B30" s="7" t="s">
        <v>13</v>
      </c>
      <c r="C30" s="2" t="s">
        <v>15</v>
      </c>
      <c r="D30" s="9">
        <f>5.5*D29</f>
        <v>132.32999999999998</v>
      </c>
      <c r="E30" s="15"/>
      <c r="F30" s="15"/>
      <c r="G30" s="15">
        <v>0</v>
      </c>
      <c r="H30" s="32">
        <f>D30*G30</f>
        <v>0</v>
      </c>
    </row>
    <row r="31" spans="1:8" x14ac:dyDescent="0.25">
      <c r="A31" s="47"/>
      <c r="B31" s="7" t="s">
        <v>80</v>
      </c>
      <c r="C31" s="2" t="s">
        <v>15</v>
      </c>
      <c r="D31" s="9">
        <f>0.4*D29</f>
        <v>9.6240000000000006</v>
      </c>
      <c r="E31" s="16"/>
      <c r="F31" s="16"/>
      <c r="G31" s="15">
        <v>0</v>
      </c>
      <c r="H31" s="32">
        <f>D31*G31</f>
        <v>0</v>
      </c>
    </row>
    <row r="32" spans="1:8" ht="15.75" thickBot="1" x14ac:dyDescent="0.3">
      <c r="A32" s="46"/>
      <c r="B32" s="34" t="s">
        <v>14</v>
      </c>
      <c r="C32" s="35" t="s">
        <v>7</v>
      </c>
      <c r="D32" s="36">
        <f>D29*1.05</f>
        <v>25.262999999999998</v>
      </c>
      <c r="E32" s="37"/>
      <c r="F32" s="37"/>
      <c r="G32" s="38">
        <v>0</v>
      </c>
      <c r="H32" s="39">
        <f>D32*G32</f>
        <v>0</v>
      </c>
    </row>
    <row r="33" spans="1:8" ht="15.75" thickBot="1" x14ac:dyDescent="0.3">
      <c r="A33" s="44"/>
      <c r="B33" s="8" t="s">
        <v>64</v>
      </c>
      <c r="C33" s="18"/>
      <c r="D33" s="19"/>
      <c r="E33" s="14"/>
      <c r="F33" s="14"/>
      <c r="G33" s="14"/>
      <c r="H33" s="106"/>
    </row>
    <row r="34" spans="1:8" x14ac:dyDescent="0.25">
      <c r="A34" s="45" t="s">
        <v>22</v>
      </c>
      <c r="B34" s="78" t="s">
        <v>63</v>
      </c>
      <c r="C34" s="63" t="s">
        <v>7</v>
      </c>
      <c r="D34" s="29">
        <f>D20+D27</f>
        <v>74.753299999999996</v>
      </c>
      <c r="E34" s="30">
        <v>0</v>
      </c>
      <c r="F34" s="30">
        <f>D34*E34</f>
        <v>0</v>
      </c>
      <c r="G34" s="83"/>
      <c r="H34" s="84"/>
    </row>
    <row r="35" spans="1:8" ht="15.75" thickBot="1" x14ac:dyDescent="0.3">
      <c r="A35" s="46"/>
      <c r="B35" s="42" t="s">
        <v>79</v>
      </c>
      <c r="C35" s="35" t="s">
        <v>7</v>
      </c>
      <c r="D35" s="36">
        <f>D34</f>
        <v>74.753299999999996</v>
      </c>
      <c r="E35" s="38"/>
      <c r="F35" s="38"/>
      <c r="G35" s="38">
        <v>0</v>
      </c>
      <c r="H35" s="39">
        <f>D35*G35</f>
        <v>0</v>
      </c>
    </row>
    <row r="36" spans="1:8" ht="15.75" thickBot="1" x14ac:dyDescent="0.3">
      <c r="A36" s="69"/>
      <c r="B36" s="70" t="s">
        <v>23</v>
      </c>
      <c r="C36" s="71"/>
      <c r="D36" s="72"/>
      <c r="E36" s="73"/>
      <c r="F36" s="73"/>
      <c r="G36" s="73"/>
      <c r="H36" s="74"/>
    </row>
    <row r="37" spans="1:8" x14ac:dyDescent="0.25">
      <c r="A37" s="45" t="s">
        <v>24</v>
      </c>
      <c r="B37" s="78" t="s">
        <v>43</v>
      </c>
      <c r="C37" s="28" t="s">
        <v>7</v>
      </c>
      <c r="D37" s="29">
        <f>20.16+29.21</f>
        <v>49.370000000000005</v>
      </c>
      <c r="E37" s="30">
        <v>0</v>
      </c>
      <c r="F37" s="30">
        <f>D37*E37</f>
        <v>0</v>
      </c>
      <c r="G37" s="79"/>
      <c r="H37" s="80"/>
    </row>
    <row r="38" spans="1:8" x14ac:dyDescent="0.25">
      <c r="A38" s="81"/>
      <c r="B38" s="77" t="s">
        <v>44</v>
      </c>
      <c r="C38" s="75" t="s">
        <v>7</v>
      </c>
      <c r="D38" s="76">
        <f>0.2*D37</f>
        <v>9.8740000000000023</v>
      </c>
      <c r="E38" s="101"/>
      <c r="F38" s="101"/>
      <c r="G38" s="15">
        <v>0</v>
      </c>
      <c r="H38" s="32">
        <f>D38*G38</f>
        <v>0</v>
      </c>
    </row>
    <row r="39" spans="1:8" ht="15.75" thickBot="1" x14ac:dyDescent="0.3">
      <c r="A39" s="33"/>
      <c r="B39" s="82" t="s">
        <v>130</v>
      </c>
      <c r="C39" s="35" t="s">
        <v>15</v>
      </c>
      <c r="D39" s="36">
        <f>0.4*D37</f>
        <v>19.748000000000005</v>
      </c>
      <c r="E39" s="38"/>
      <c r="F39" s="38"/>
      <c r="G39" s="38">
        <v>0</v>
      </c>
      <c r="H39" s="39">
        <f>D39*G39</f>
        <v>0</v>
      </c>
    </row>
    <row r="40" spans="1:8" x14ac:dyDescent="0.25">
      <c r="A40" s="52" t="s">
        <v>29</v>
      </c>
      <c r="B40" s="24" t="s">
        <v>26</v>
      </c>
      <c r="C40" s="25" t="s">
        <v>7</v>
      </c>
      <c r="D40" s="41">
        <f>D37</f>
        <v>49.370000000000005</v>
      </c>
      <c r="E40" s="30">
        <v>0</v>
      </c>
      <c r="F40" s="30">
        <f>D40*E40</f>
        <v>0</v>
      </c>
      <c r="G40" s="26"/>
      <c r="H40" s="26"/>
    </row>
    <row r="41" spans="1:8" x14ac:dyDescent="0.25">
      <c r="A41" s="7"/>
      <c r="B41" s="49" t="s">
        <v>82</v>
      </c>
      <c r="C41" s="2" t="s">
        <v>25</v>
      </c>
      <c r="D41" s="2">
        <v>1</v>
      </c>
      <c r="E41" s="15"/>
      <c r="F41" s="15"/>
      <c r="G41" s="15">
        <v>0</v>
      </c>
      <c r="H41" s="32">
        <f>D41*G41</f>
        <v>0</v>
      </c>
    </row>
    <row r="42" spans="1:8" ht="30.75" thickBot="1" x14ac:dyDescent="0.3">
      <c r="A42" s="4"/>
      <c r="B42" s="118" t="s">
        <v>81</v>
      </c>
      <c r="C42" s="3" t="s">
        <v>7</v>
      </c>
      <c r="D42" s="21">
        <f>D40</f>
        <v>49.370000000000005</v>
      </c>
      <c r="E42" s="23"/>
      <c r="F42" s="23"/>
      <c r="G42" s="23">
        <v>0</v>
      </c>
      <c r="H42" s="23">
        <f>D42*G42</f>
        <v>0</v>
      </c>
    </row>
    <row r="43" spans="1:8" x14ac:dyDescent="0.25">
      <c r="A43" s="45" t="s">
        <v>30</v>
      </c>
      <c r="B43" s="27" t="s">
        <v>199</v>
      </c>
      <c r="C43" s="28" t="s">
        <v>125</v>
      </c>
      <c r="D43" s="29">
        <f>(7.56+1.61*3)+(1.61*4+6.28+1.64*2)</f>
        <v>28.39</v>
      </c>
      <c r="E43" s="30">
        <v>0</v>
      </c>
      <c r="F43" s="30">
        <f>D43*E43</f>
        <v>0</v>
      </c>
      <c r="G43" s="53"/>
      <c r="H43" s="54"/>
    </row>
    <row r="44" spans="1:8" x14ac:dyDescent="0.25">
      <c r="A44" s="217"/>
      <c r="B44" s="49" t="s">
        <v>82</v>
      </c>
      <c r="C44" s="2" t="s">
        <v>25</v>
      </c>
      <c r="D44" s="2">
        <v>1</v>
      </c>
      <c r="E44" s="15"/>
      <c r="F44" s="15"/>
      <c r="G44" s="15">
        <v>0</v>
      </c>
      <c r="H44" s="32">
        <f>D44*G44</f>
        <v>0</v>
      </c>
    </row>
    <row r="45" spans="1:8" ht="45.75" thickBot="1" x14ac:dyDescent="0.3">
      <c r="A45" s="33"/>
      <c r="B45" s="218" t="s">
        <v>197</v>
      </c>
      <c r="C45" s="35" t="s">
        <v>125</v>
      </c>
      <c r="D45" s="36">
        <f>D43*1.07</f>
        <v>30.377300000000002</v>
      </c>
      <c r="E45" s="38"/>
      <c r="F45" s="38"/>
      <c r="G45" s="38">
        <v>0</v>
      </c>
      <c r="H45" s="39">
        <f>D45*G45</f>
        <v>0</v>
      </c>
    </row>
    <row r="46" spans="1:8" ht="15.75" thickBot="1" x14ac:dyDescent="0.3">
      <c r="A46" s="69"/>
      <c r="B46" s="70" t="s">
        <v>27</v>
      </c>
      <c r="C46" s="71"/>
      <c r="D46" s="72"/>
      <c r="E46" s="73"/>
      <c r="F46" s="73"/>
      <c r="G46" s="73"/>
      <c r="H46" s="74"/>
    </row>
    <row r="47" spans="1:8" x14ac:dyDescent="0.25">
      <c r="A47" s="52" t="s">
        <v>168</v>
      </c>
      <c r="B47" s="24" t="s">
        <v>28</v>
      </c>
      <c r="C47" s="25" t="s">
        <v>7</v>
      </c>
      <c r="D47" s="41">
        <v>22.96</v>
      </c>
      <c r="E47" s="30">
        <v>0</v>
      </c>
      <c r="F47" s="30">
        <f>D47*E47</f>
        <v>0</v>
      </c>
      <c r="G47" s="26"/>
      <c r="H47" s="26"/>
    </row>
    <row r="48" spans="1:8" ht="60.75" thickBot="1" x14ac:dyDescent="0.3">
      <c r="A48" s="4"/>
      <c r="B48" s="195" t="s">
        <v>95</v>
      </c>
      <c r="C48" s="3" t="s">
        <v>7</v>
      </c>
      <c r="D48" s="21">
        <f>D47</f>
        <v>22.96</v>
      </c>
      <c r="E48" s="23"/>
      <c r="F48" s="23"/>
      <c r="G48" s="23">
        <v>0</v>
      </c>
      <c r="H48" s="51">
        <f>D48*G48</f>
        <v>0</v>
      </c>
    </row>
    <row r="49" spans="1:8" ht="30" x14ac:dyDescent="0.25">
      <c r="A49" s="45" t="s">
        <v>170</v>
      </c>
      <c r="B49" s="58" t="s">
        <v>171</v>
      </c>
      <c r="C49" s="28" t="s">
        <v>125</v>
      </c>
      <c r="D49" s="29">
        <f>3.515+3.49+1.68+3.46</f>
        <v>12.145</v>
      </c>
      <c r="E49" s="30">
        <v>0</v>
      </c>
      <c r="F49" s="30">
        <f>D49*E49</f>
        <v>0</v>
      </c>
      <c r="G49" s="83"/>
      <c r="H49" s="84"/>
    </row>
    <row r="50" spans="1:8" ht="15.75" thickBot="1" x14ac:dyDescent="0.3">
      <c r="A50" s="198"/>
      <c r="B50" s="118" t="s">
        <v>169</v>
      </c>
      <c r="C50" s="3" t="s">
        <v>7</v>
      </c>
      <c r="D50" s="21">
        <f>D49</f>
        <v>12.145</v>
      </c>
      <c r="E50" s="23"/>
      <c r="F50" s="23"/>
      <c r="G50" s="23">
        <v>0</v>
      </c>
      <c r="H50" s="51">
        <f>D50*G50</f>
        <v>0</v>
      </c>
    </row>
    <row r="51" spans="1:8" x14ac:dyDescent="0.25">
      <c r="A51" s="45" t="s">
        <v>198</v>
      </c>
      <c r="B51" s="27" t="s">
        <v>184</v>
      </c>
      <c r="C51" s="28" t="s">
        <v>19</v>
      </c>
      <c r="D51" s="29">
        <v>14</v>
      </c>
      <c r="E51" s="30">
        <v>0</v>
      </c>
      <c r="F51" s="30">
        <f>D51*E51</f>
        <v>0</v>
      </c>
      <c r="G51" s="83"/>
      <c r="H51" s="84"/>
    </row>
    <row r="52" spans="1:8" ht="15.75" thickBot="1" x14ac:dyDescent="0.3">
      <c r="A52" s="196"/>
      <c r="B52" s="197" t="s">
        <v>183</v>
      </c>
      <c r="C52" s="35" t="s">
        <v>19</v>
      </c>
      <c r="D52" s="36">
        <f>D51</f>
        <v>14</v>
      </c>
      <c r="E52" s="38"/>
      <c r="F52" s="38"/>
      <c r="G52" s="38">
        <v>0</v>
      </c>
      <c r="H52" s="39">
        <f>D52*G52</f>
        <v>0</v>
      </c>
    </row>
    <row r="53" spans="1:8" ht="15.75" thickBot="1" x14ac:dyDescent="0.3">
      <c r="A53" s="112"/>
      <c r="B53" s="113" t="s">
        <v>31</v>
      </c>
      <c r="C53" s="114"/>
      <c r="D53" s="115"/>
      <c r="E53" s="116"/>
      <c r="F53" s="116"/>
      <c r="G53" s="116"/>
      <c r="H53" s="117"/>
    </row>
    <row r="54" spans="1:8" ht="30" x14ac:dyDescent="0.25">
      <c r="A54" s="45" t="s">
        <v>32</v>
      </c>
      <c r="B54" s="59" t="s">
        <v>34</v>
      </c>
      <c r="C54" s="28" t="s">
        <v>7</v>
      </c>
      <c r="D54" s="119">
        <f>0.92*(2.12-0.985)*2</f>
        <v>2.0884000000000005</v>
      </c>
      <c r="E54" s="30">
        <v>0</v>
      </c>
      <c r="F54" s="30">
        <f>D54*E54</f>
        <v>0</v>
      </c>
      <c r="G54" s="56"/>
      <c r="H54" s="57"/>
    </row>
    <row r="55" spans="1:8" ht="30.75" thickBot="1" x14ac:dyDescent="0.3">
      <c r="A55" s="46"/>
      <c r="B55" s="42" t="s">
        <v>33</v>
      </c>
      <c r="C55" s="35" t="s">
        <v>7</v>
      </c>
      <c r="D55" s="36">
        <f>D54</f>
        <v>2.0884000000000005</v>
      </c>
      <c r="E55" s="37"/>
      <c r="F55" s="37"/>
      <c r="G55" s="38">
        <v>0</v>
      </c>
      <c r="H55" s="39">
        <f>D55*G55</f>
        <v>0</v>
      </c>
    </row>
    <row r="56" spans="1:8" ht="85.5" customHeight="1" x14ac:dyDescent="0.25">
      <c r="A56" s="45" t="s">
        <v>36</v>
      </c>
      <c r="B56" s="62" t="s">
        <v>97</v>
      </c>
      <c r="C56" s="28" t="s">
        <v>17</v>
      </c>
      <c r="D56" s="119">
        <f>0.92*3+N("ниша для достапа к этажному электрическому щиту")+
0.84*3*2+N("ниши для доступа к ПК")+
1.44*3+N("ниша для достапа к этажному электрическому щиту + стояк МГН и оповещения")+
1.2*3+N("ниши для доступа к приборам учета водоснабжения и отопления в осях 124.1/И.1-К.1")</f>
        <v>15.72</v>
      </c>
      <c r="E56" s="30">
        <v>0</v>
      </c>
      <c r="F56" s="30">
        <f>D56*E56</f>
        <v>0</v>
      </c>
      <c r="G56" s="83"/>
      <c r="H56" s="84"/>
    </row>
    <row r="57" spans="1:8" ht="30.75" thickBot="1" x14ac:dyDescent="0.3">
      <c r="A57" s="46"/>
      <c r="B57" s="42" t="s">
        <v>96</v>
      </c>
      <c r="C57" s="35" t="s">
        <v>17</v>
      </c>
      <c r="D57" s="36">
        <f>D56</f>
        <v>15.72</v>
      </c>
      <c r="E57" s="37"/>
      <c r="F57" s="37"/>
      <c r="G57" s="38">
        <v>0</v>
      </c>
      <c r="H57" s="39">
        <f>D57*G57</f>
        <v>0</v>
      </c>
    </row>
    <row r="58" spans="1:8" ht="99.75" customHeight="1" x14ac:dyDescent="0.25">
      <c r="A58" s="64" t="s">
        <v>37</v>
      </c>
      <c r="B58" s="62" t="s">
        <v>98</v>
      </c>
      <c r="C58" s="28" t="s">
        <v>17</v>
      </c>
      <c r="D58" s="119">
        <f>(2.8-0.08)*3*2+N("боковые откосы ниши для доступа к приборам учета водоснабжения и отопления в осях 14.1-16.1/К.1")+
(2.8-0.08)*3*2+N("боковые откосы ниши для доступа к приборам учета водоснабжения и отопления в осях 24.1/И.1-К.1")</f>
        <v>32.64</v>
      </c>
      <c r="E58" s="30">
        <v>0</v>
      </c>
      <c r="F58" s="30">
        <f>D58*E58</f>
        <v>0</v>
      </c>
      <c r="G58" s="53"/>
      <c r="H58" s="54"/>
    </row>
    <row r="59" spans="1:8" ht="30.75" thickBot="1" x14ac:dyDescent="0.3">
      <c r="A59" s="85"/>
      <c r="B59" s="42" t="s">
        <v>35</v>
      </c>
      <c r="C59" s="35" t="s">
        <v>17</v>
      </c>
      <c r="D59" s="36">
        <f>D58</f>
        <v>32.64</v>
      </c>
      <c r="E59" s="37"/>
      <c r="F59" s="37"/>
      <c r="G59" s="38">
        <v>0</v>
      </c>
      <c r="H59" s="39">
        <f>D59*G59</f>
        <v>0</v>
      </c>
    </row>
    <row r="60" spans="1:8" ht="75" x14ac:dyDescent="0.25">
      <c r="A60" s="64" t="s">
        <v>41</v>
      </c>
      <c r="B60" s="62" t="s">
        <v>99</v>
      </c>
      <c r="C60" s="28" t="s">
        <v>17</v>
      </c>
      <c r="D60" s="119">
        <f>1.1*3+N("верхний откос ниши для доступа к приборам учета водоснабжения и отопления в осях 14.1-16.1/К.1")+
1.2*3+N("верхний откос ниши для доступа к приборам учета водоснабжения и отопления в осях 24.1/И.1-К.1")</f>
        <v>6.9</v>
      </c>
      <c r="E60" s="30">
        <v>0</v>
      </c>
      <c r="F60" s="30">
        <f>D60*E60</f>
        <v>0</v>
      </c>
      <c r="G60" s="53"/>
      <c r="H60" s="54"/>
    </row>
    <row r="61" spans="1:8" ht="30.75" thickBot="1" x14ac:dyDescent="0.3">
      <c r="A61" s="85"/>
      <c r="B61" s="42" t="s">
        <v>35</v>
      </c>
      <c r="C61" s="35" t="s">
        <v>17</v>
      </c>
      <c r="D61" s="36">
        <f>D60</f>
        <v>6.9</v>
      </c>
      <c r="E61" s="37"/>
      <c r="F61" s="37"/>
      <c r="G61" s="38">
        <v>0</v>
      </c>
      <c r="H61" s="39">
        <f>D61*G61</f>
        <v>0</v>
      </c>
    </row>
    <row r="62" spans="1:8" ht="45" x14ac:dyDescent="0.25">
      <c r="A62" s="64" t="s">
        <v>42</v>
      </c>
      <c r="B62" s="158" t="s">
        <v>100</v>
      </c>
      <c r="C62" s="159" t="s">
        <v>17</v>
      </c>
      <c r="D62" s="119">
        <f>(2.1-0.06)*2+N("ниша для достапа к этажному электрическому щиту")+
(2.1-0.06)*2*2+N("ниши для доступа к ПК")+
(2.1-0.06)*2+N("ниша для достапа к этажному электрическому щиту + стояк МГН и оповещения")+
2.1*2+N("выход на балкон кондиционирования")</f>
        <v>20.52</v>
      </c>
      <c r="E62" s="30">
        <v>0</v>
      </c>
      <c r="F62" s="30">
        <f>D62*E62</f>
        <v>0</v>
      </c>
      <c r="G62" s="53"/>
      <c r="H62" s="54"/>
    </row>
    <row r="63" spans="1:8" ht="30.75" thickBot="1" x14ac:dyDescent="0.3">
      <c r="A63" s="85"/>
      <c r="B63" s="42" t="s">
        <v>35</v>
      </c>
      <c r="C63" s="35" t="s">
        <v>17</v>
      </c>
      <c r="D63" s="36">
        <f>D62</f>
        <v>20.52</v>
      </c>
      <c r="E63" s="37"/>
      <c r="F63" s="37"/>
      <c r="G63" s="38">
        <v>0</v>
      </c>
      <c r="H63" s="39">
        <f>D63*G63</f>
        <v>0</v>
      </c>
    </row>
    <row r="64" spans="1:8" ht="45" x14ac:dyDescent="0.25">
      <c r="A64" s="45" t="s">
        <v>46</v>
      </c>
      <c r="B64" s="158" t="s">
        <v>101</v>
      </c>
      <c r="C64" s="159" t="s">
        <v>17</v>
      </c>
      <c r="D64" s="119">
        <f>0.92+N("ниша для достапа к этажному электрическому щиту")+
1.44+N("ниша для достапа к этажному электрическому щиту + стояк МГН и оповещения")+
0.81+N("выход на балкон кондиционирования")</f>
        <v>3.17</v>
      </c>
      <c r="E64" s="30">
        <v>0</v>
      </c>
      <c r="F64" s="30">
        <f>D64*E64</f>
        <v>0</v>
      </c>
      <c r="G64" s="53"/>
      <c r="H64" s="54"/>
    </row>
    <row r="65" spans="1:11" ht="30.75" thickBot="1" x14ac:dyDescent="0.3">
      <c r="A65" s="85"/>
      <c r="B65" s="42" t="s">
        <v>35</v>
      </c>
      <c r="C65" s="35" t="s">
        <v>17</v>
      </c>
      <c r="D65" s="36">
        <f>D64</f>
        <v>3.17</v>
      </c>
      <c r="E65" s="37"/>
      <c r="F65" s="37"/>
      <c r="G65" s="38">
        <v>0</v>
      </c>
      <c r="H65" s="39">
        <f>D65*G65</f>
        <v>0</v>
      </c>
    </row>
    <row r="66" spans="1:11" ht="75" x14ac:dyDescent="0.25">
      <c r="A66" s="45" t="s">
        <v>47</v>
      </c>
      <c r="B66" s="191" t="s">
        <v>176</v>
      </c>
      <c r="C66" s="28" t="s">
        <v>7</v>
      </c>
      <c r="D66" s="119">
        <f>(2.7-2.1)*0.84*2+N("ниши для доступа к ПК")</f>
        <v>1.008</v>
      </c>
      <c r="E66" s="30">
        <v>0</v>
      </c>
      <c r="F66" s="30">
        <f>D66*E66</f>
        <v>0</v>
      </c>
      <c r="G66" s="83"/>
      <c r="H66" s="84"/>
    </row>
    <row r="67" spans="1:11" ht="30.75" thickBot="1" x14ac:dyDescent="0.3">
      <c r="A67" s="46"/>
      <c r="B67" s="42" t="s">
        <v>96</v>
      </c>
      <c r="C67" s="35" t="s">
        <v>17</v>
      </c>
      <c r="D67" s="36">
        <f>D66</f>
        <v>1.008</v>
      </c>
      <c r="E67" s="37"/>
      <c r="F67" s="37"/>
      <c r="G67" s="38">
        <v>0</v>
      </c>
      <c r="H67" s="39">
        <f>D67*G67</f>
        <v>0</v>
      </c>
    </row>
    <row r="68" spans="1:11" ht="30" x14ac:dyDescent="0.25">
      <c r="A68" s="181" t="s">
        <v>48</v>
      </c>
      <c r="B68" s="158" t="s">
        <v>102</v>
      </c>
      <c r="C68" s="121" t="s">
        <v>17</v>
      </c>
      <c r="D68" s="119">
        <f>0.84*2+N("ниши для доступа к ПК")</f>
        <v>1.68</v>
      </c>
      <c r="E68" s="30">
        <v>0</v>
      </c>
      <c r="F68" s="30">
        <f>D68*E68</f>
        <v>0</v>
      </c>
      <c r="G68" s="123"/>
      <c r="H68" s="157"/>
    </row>
    <row r="69" spans="1:11" ht="30.75" thickBot="1" x14ac:dyDescent="0.3">
      <c r="A69" s="46"/>
      <c r="B69" s="42" t="s">
        <v>103</v>
      </c>
      <c r="C69" s="35" t="s">
        <v>17</v>
      </c>
      <c r="D69" s="36">
        <f>D68</f>
        <v>1.68</v>
      </c>
      <c r="E69" s="37"/>
      <c r="F69" s="37"/>
      <c r="G69" s="38">
        <v>0</v>
      </c>
      <c r="H69" s="39">
        <f>D69*G69</f>
        <v>0</v>
      </c>
    </row>
    <row r="70" spans="1:11" s="129" customFormat="1" ht="34.5" customHeight="1" x14ac:dyDescent="0.25">
      <c r="A70" s="124" t="s">
        <v>50</v>
      </c>
      <c r="B70" s="125" t="s">
        <v>84</v>
      </c>
      <c r="C70" s="126" t="s">
        <v>16</v>
      </c>
      <c r="D70" s="29">
        <f>2.7*14</f>
        <v>37.800000000000004</v>
      </c>
      <c r="E70" s="127">
        <v>0</v>
      </c>
      <c r="F70" s="127">
        <f>D70*E70</f>
        <v>0</v>
      </c>
      <c r="G70" s="127"/>
      <c r="H70" s="128"/>
      <c r="K70" s="130"/>
    </row>
    <row r="71" spans="1:11" s="129" customFormat="1" x14ac:dyDescent="0.25">
      <c r="A71" s="131"/>
      <c r="B71" s="132" t="s">
        <v>85</v>
      </c>
      <c r="C71" s="133" t="s">
        <v>86</v>
      </c>
      <c r="D71" s="9">
        <f>D70*0.25</f>
        <v>9.4500000000000011</v>
      </c>
      <c r="E71" s="134"/>
      <c r="F71" s="134"/>
      <c r="G71" s="134">
        <v>0</v>
      </c>
      <c r="H71" s="135">
        <f>D71*G71</f>
        <v>0</v>
      </c>
      <c r="K71" s="130"/>
    </row>
    <row r="72" spans="1:11" s="129" customFormat="1" ht="15.75" thickBot="1" x14ac:dyDescent="0.3">
      <c r="A72" s="136"/>
      <c r="B72" s="137" t="s">
        <v>87</v>
      </c>
      <c r="C72" s="138" t="s">
        <v>7</v>
      </c>
      <c r="D72" s="36">
        <f>D70*1.05</f>
        <v>39.690000000000005</v>
      </c>
      <c r="E72" s="139"/>
      <c r="F72" s="139"/>
      <c r="G72" s="139">
        <v>0</v>
      </c>
      <c r="H72" s="140">
        <f>D72*G72</f>
        <v>0</v>
      </c>
      <c r="K72" s="130"/>
    </row>
    <row r="73" spans="1:11" ht="62.25" customHeight="1" x14ac:dyDescent="0.25">
      <c r="A73" s="64" t="s">
        <v>52</v>
      </c>
      <c r="B73" s="182" t="s">
        <v>172</v>
      </c>
      <c r="C73" s="5" t="s">
        <v>7</v>
      </c>
      <c r="D73" s="68">
        <f>(29.22+39.73)*2.7-
1.01*2.1*11+N("квартирные двери")-
1.45*2.1*2+N("двери в лифтовой холл")-
0.81*2.1+N("дверь на балкон кондиционирования")-
1*0.6+N("клапана приточки")-
0.6*0.7+N("клапана приточки")-
(0.92+0.84+0.84+1.44)*2.04+N("двери тех. ниш (ЭОМ, ПК)")-
1.1*(2.15+0.4)+N("дверь в тех. нишу воды и отопления+клапан вытяжки над дверью")-
1.2*(2.25+0.3-0.06)+N("дверь в тех. нишу воды и отопления+клапан вытяжки над дверью")-
0.34*0.17+N("отверстие для доступа к кабельной линии пожарной сигнализации")+
(0.92*2)*(2.12-0.985)+N("зашивка в электротехнических нишах")+
(1.45*2.1*2)*0.08*2+N("откосы дверей в лифтовой холл")</f>
        <v>142.99340000000004</v>
      </c>
      <c r="E73" s="30">
        <v>0</v>
      </c>
      <c r="F73" s="30">
        <f>D73*E73</f>
        <v>0</v>
      </c>
      <c r="G73" s="66"/>
      <c r="H73" s="67"/>
    </row>
    <row r="74" spans="1:11" x14ac:dyDescent="0.25">
      <c r="A74" s="47"/>
      <c r="B74" s="7" t="s">
        <v>6</v>
      </c>
      <c r="C74" s="2" t="s">
        <v>8</v>
      </c>
      <c r="D74" s="9">
        <f>0.2*D73</f>
        <v>28.598680000000009</v>
      </c>
      <c r="E74" s="16"/>
      <c r="F74" s="16"/>
      <c r="G74" s="15">
        <v>0</v>
      </c>
      <c r="H74" s="32">
        <f>D74*G74</f>
        <v>0</v>
      </c>
    </row>
    <row r="75" spans="1:11" ht="30" x14ac:dyDescent="0.25">
      <c r="A75" s="47"/>
      <c r="B75" s="49" t="s">
        <v>38</v>
      </c>
      <c r="C75" s="2" t="s">
        <v>15</v>
      </c>
      <c r="D75" s="9">
        <f>3.75*D73</f>
        <v>536.22525000000019</v>
      </c>
      <c r="E75" s="16"/>
      <c r="F75" s="16"/>
      <c r="G75" s="15">
        <v>0</v>
      </c>
      <c r="H75" s="32">
        <f>D75*G75</f>
        <v>0</v>
      </c>
    </row>
    <row r="76" spans="1:11" ht="15.75" thickBot="1" x14ac:dyDescent="0.3">
      <c r="A76" s="46"/>
      <c r="B76" s="42" t="s">
        <v>39</v>
      </c>
      <c r="C76" s="35" t="s">
        <v>15</v>
      </c>
      <c r="D76" s="36">
        <f>1.8*D73</f>
        <v>257.38812000000007</v>
      </c>
      <c r="E76" s="37"/>
      <c r="F76" s="37"/>
      <c r="G76" s="38">
        <v>0</v>
      </c>
      <c r="H76" s="39">
        <f>D76*G76</f>
        <v>0</v>
      </c>
    </row>
    <row r="77" spans="1:11" ht="30" x14ac:dyDescent="0.25">
      <c r="A77" s="45" t="s">
        <v>88</v>
      </c>
      <c r="B77" s="62" t="s">
        <v>40</v>
      </c>
      <c r="C77" s="63" t="s">
        <v>7</v>
      </c>
      <c r="D77" s="68">
        <f>(29.22+39.73)*(2.7-0.04-0.1/2)-
(1.01+0.04*2)*(2.7-0.04-0.1/2)*11+N("квартирные двери")-
1.45*(2.7-0.04-0.1/2)*2+N("двери в лифтовой холл")-
0.81*(2.1-0.04)+N("дверь на балкон кондиционирования")-
1*0.6+N("клапана приточки")-
0.6*0.7+N("клапана приточки")-
(0.92+0.84+0.84+1.44)*2.04+N("двери тех. ниш (ЭОМ, ПК)")-
1.1*(2.15+0.4-0.04)+N("дверь в тех. нишу воды и отопления+клапан над дверью")-
1.2*(2.25+0.3-0.04)+N("дверь в тех. нишу воды и отопления+клапан над дверью")-
0.34*0.17+N("отверстие для доступа к кабельной линии пожарной сигнализации")+
(1.45*2.1*2)*0.08*2+N("откосы дверей в лифтовой холл")</f>
        <v>125.31000000000002</v>
      </c>
      <c r="E77" s="30">
        <v>0</v>
      </c>
      <c r="F77" s="30">
        <f>D77*E77</f>
        <v>0</v>
      </c>
      <c r="G77" s="53"/>
      <c r="H77" s="54"/>
      <c r="J77" s="120"/>
    </row>
    <row r="78" spans="1:11" x14ac:dyDescent="0.25">
      <c r="A78" s="47"/>
      <c r="B78" s="7" t="s">
        <v>6</v>
      </c>
      <c r="C78" s="2" t="s">
        <v>8</v>
      </c>
      <c r="D78" s="9">
        <f>0.2*D77</f>
        <v>25.062000000000005</v>
      </c>
      <c r="E78" s="16"/>
      <c r="F78" s="16"/>
      <c r="G78" s="15">
        <v>0</v>
      </c>
      <c r="H78" s="32">
        <f>D78*G78</f>
        <v>0</v>
      </c>
    </row>
    <row r="79" spans="1:11" ht="30.75" thickBot="1" x14ac:dyDescent="0.3">
      <c r="A79" s="50"/>
      <c r="B79" s="61" t="s">
        <v>164</v>
      </c>
      <c r="C79" s="3" t="s">
        <v>7</v>
      </c>
      <c r="D79" s="21">
        <f>D77</f>
        <v>125.31000000000002</v>
      </c>
      <c r="E79" s="22"/>
      <c r="F79" s="22"/>
      <c r="G79" s="23">
        <v>0</v>
      </c>
      <c r="H79" s="51">
        <f>D79*G79</f>
        <v>0</v>
      </c>
    </row>
    <row r="80" spans="1:11" x14ac:dyDescent="0.25">
      <c r="A80" s="45" t="s">
        <v>89</v>
      </c>
      <c r="B80" s="27" t="s">
        <v>45</v>
      </c>
      <c r="C80" s="28" t="s">
        <v>16</v>
      </c>
      <c r="D80" s="29">
        <f>29.22+39.73</f>
        <v>68.949999999999989</v>
      </c>
      <c r="E80" s="30">
        <v>0</v>
      </c>
      <c r="F80" s="30">
        <f>D80*E80</f>
        <v>0</v>
      </c>
      <c r="G80" s="53"/>
      <c r="H80" s="54"/>
    </row>
    <row r="81" spans="1:8" x14ac:dyDescent="0.25">
      <c r="A81" s="47"/>
      <c r="B81" s="77" t="s">
        <v>44</v>
      </c>
      <c r="C81" s="75" t="s">
        <v>7</v>
      </c>
      <c r="D81" s="76">
        <f>0.2*0.05*D80</f>
        <v>0.6895</v>
      </c>
      <c r="E81" s="101"/>
      <c r="F81" s="101"/>
      <c r="G81" s="15">
        <v>0</v>
      </c>
      <c r="H81" s="32">
        <f>D81*G81</f>
        <v>0</v>
      </c>
    </row>
    <row r="82" spans="1:8" ht="15.75" thickBot="1" x14ac:dyDescent="0.3">
      <c r="A82" s="46"/>
      <c r="B82" s="82" t="s">
        <v>130</v>
      </c>
      <c r="C82" s="35" t="s">
        <v>15</v>
      </c>
      <c r="D82" s="36">
        <f>0.4*0.05*D80</f>
        <v>1.379</v>
      </c>
      <c r="E82" s="38"/>
      <c r="F82" s="38"/>
      <c r="G82" s="38">
        <v>0</v>
      </c>
      <c r="H82" s="39">
        <f>D82*G82</f>
        <v>0</v>
      </c>
    </row>
    <row r="83" spans="1:8" x14ac:dyDescent="0.25">
      <c r="A83" s="45" t="s">
        <v>90</v>
      </c>
      <c r="B83" s="27" t="s">
        <v>70</v>
      </c>
      <c r="C83" s="28" t="s">
        <v>7</v>
      </c>
      <c r="D83" s="119">
        <f>0.92*(2.12-0.985)*2</f>
        <v>2.0884000000000005</v>
      </c>
      <c r="E83" s="30">
        <v>0</v>
      </c>
      <c r="F83" s="30">
        <f>D83*E83</f>
        <v>0</v>
      </c>
      <c r="G83" s="53"/>
      <c r="H83" s="54"/>
    </row>
    <row r="84" spans="1:8" x14ac:dyDescent="0.25">
      <c r="A84" s="47"/>
      <c r="B84" s="77" t="s">
        <v>44</v>
      </c>
      <c r="C84" s="75" t="s">
        <v>7</v>
      </c>
      <c r="D84" s="76">
        <f>0.2*D83</f>
        <v>0.41768000000000011</v>
      </c>
      <c r="E84" s="101"/>
      <c r="F84" s="101"/>
      <c r="G84" s="15">
        <v>0</v>
      </c>
      <c r="H84" s="32">
        <f>D84*G84</f>
        <v>0</v>
      </c>
    </row>
    <row r="85" spans="1:8" ht="15.75" thickBot="1" x14ac:dyDescent="0.3">
      <c r="A85" s="46"/>
      <c r="B85" s="82" t="s">
        <v>129</v>
      </c>
      <c r="C85" s="35" t="s">
        <v>15</v>
      </c>
      <c r="D85" s="36">
        <f>0.4*D83</f>
        <v>0.83536000000000021</v>
      </c>
      <c r="E85" s="38"/>
      <c r="F85" s="38"/>
      <c r="G85" s="38">
        <v>0</v>
      </c>
      <c r="H85" s="39">
        <f>D85*G85</f>
        <v>0</v>
      </c>
    </row>
    <row r="86" spans="1:8" ht="30" x14ac:dyDescent="0.25">
      <c r="A86" s="45" t="s">
        <v>56</v>
      </c>
      <c r="B86" s="58" t="s">
        <v>144</v>
      </c>
      <c r="C86" s="28" t="s">
        <v>19</v>
      </c>
      <c r="D86" s="29">
        <f>D87*1+D88*1</f>
        <v>2</v>
      </c>
      <c r="E86" s="30">
        <v>0</v>
      </c>
      <c r="F86" s="30">
        <f>D86*E86</f>
        <v>0</v>
      </c>
      <c r="G86" s="53"/>
      <c r="H86" s="54"/>
    </row>
    <row r="87" spans="1:8" ht="52.5" customHeight="1" x14ac:dyDescent="0.25">
      <c r="A87" s="47"/>
      <c r="B87" s="160" t="s">
        <v>109</v>
      </c>
      <c r="C87" s="75" t="s">
        <v>19</v>
      </c>
      <c r="D87" s="76">
        <v>1</v>
      </c>
      <c r="E87" s="101"/>
      <c r="F87" s="101"/>
      <c r="G87" s="15">
        <v>0</v>
      </c>
      <c r="H87" s="32">
        <f t="shared" ref="H87:H91" si="0">D87*G87</f>
        <v>0</v>
      </c>
    </row>
    <row r="88" spans="1:8" ht="45.75" thickBot="1" x14ac:dyDescent="0.3">
      <c r="A88" s="47"/>
      <c r="B88" s="77" t="s">
        <v>110</v>
      </c>
      <c r="C88" s="2" t="s">
        <v>19</v>
      </c>
      <c r="D88" s="9">
        <v>1</v>
      </c>
      <c r="E88" s="16"/>
      <c r="F88" s="16"/>
      <c r="G88" s="15">
        <v>0</v>
      </c>
      <c r="H88" s="32">
        <f t="shared" si="0"/>
        <v>0</v>
      </c>
    </row>
    <row r="89" spans="1:8" x14ac:dyDescent="0.25">
      <c r="A89" s="45" t="s">
        <v>57</v>
      </c>
      <c r="B89" s="27" t="s">
        <v>108</v>
      </c>
      <c r="C89" s="28" t="s">
        <v>19</v>
      </c>
      <c r="D89" s="29">
        <f>D90*1+D91*1+D92*2+D93*1</f>
        <v>6</v>
      </c>
      <c r="E89" s="30">
        <v>0</v>
      </c>
      <c r="F89" s="30">
        <f>D89*E89</f>
        <v>0</v>
      </c>
      <c r="G89" s="53"/>
      <c r="H89" s="54"/>
    </row>
    <row r="90" spans="1:8" ht="30" x14ac:dyDescent="0.25">
      <c r="A90" s="47"/>
      <c r="B90" s="77" t="s">
        <v>104</v>
      </c>
      <c r="C90" s="2" t="s">
        <v>19</v>
      </c>
      <c r="D90" s="9">
        <v>1</v>
      </c>
      <c r="E90" s="16"/>
      <c r="F90" s="16"/>
      <c r="G90" s="15">
        <v>0</v>
      </c>
      <c r="H90" s="32">
        <f t="shared" si="0"/>
        <v>0</v>
      </c>
    </row>
    <row r="91" spans="1:8" ht="30" x14ac:dyDescent="0.25">
      <c r="A91" s="47"/>
      <c r="B91" s="77" t="s">
        <v>105</v>
      </c>
      <c r="C91" s="2" t="s">
        <v>19</v>
      </c>
      <c r="D91" s="9">
        <v>2</v>
      </c>
      <c r="E91" s="16"/>
      <c r="F91" s="16"/>
      <c r="G91" s="15">
        <v>0</v>
      </c>
      <c r="H91" s="32">
        <f t="shared" si="0"/>
        <v>0</v>
      </c>
    </row>
    <row r="92" spans="1:8" ht="30" x14ac:dyDescent="0.25">
      <c r="A92" s="47"/>
      <c r="B92" s="77" t="s">
        <v>106</v>
      </c>
      <c r="C92" s="2" t="s">
        <v>19</v>
      </c>
      <c r="D92" s="9">
        <v>1</v>
      </c>
      <c r="E92" s="16"/>
      <c r="F92" s="16"/>
      <c r="G92" s="15">
        <v>0</v>
      </c>
      <c r="H92" s="32">
        <f t="shared" ref="H92" si="1">D92*G92</f>
        <v>0</v>
      </c>
    </row>
    <row r="93" spans="1:8" ht="37.5" customHeight="1" thickBot="1" x14ac:dyDescent="0.3">
      <c r="A93" s="50"/>
      <c r="B93" s="161" t="s">
        <v>107</v>
      </c>
      <c r="C93" s="3" t="s">
        <v>19</v>
      </c>
      <c r="D93" s="21">
        <v>1</v>
      </c>
      <c r="E93" s="22"/>
      <c r="F93" s="22"/>
      <c r="G93" s="23">
        <v>0</v>
      </c>
      <c r="H93" s="51">
        <f t="shared" ref="H93" si="2">D93*G93</f>
        <v>0</v>
      </c>
    </row>
    <row r="94" spans="1:8" x14ac:dyDescent="0.25">
      <c r="A94" s="45" t="s">
        <v>58</v>
      </c>
      <c r="B94" s="163" t="s">
        <v>114</v>
      </c>
      <c r="C94" s="28" t="s">
        <v>19</v>
      </c>
      <c r="D94" s="29">
        <v>1</v>
      </c>
      <c r="E94" s="30">
        <v>0</v>
      </c>
      <c r="F94" s="30">
        <f>D94*E94</f>
        <v>0</v>
      </c>
      <c r="G94" s="83"/>
      <c r="H94" s="84"/>
    </row>
    <row r="95" spans="1:8" ht="15.75" thickBot="1" x14ac:dyDescent="0.3">
      <c r="A95" s="85"/>
      <c r="B95" s="82" t="s">
        <v>113</v>
      </c>
      <c r="C95" s="164" t="s">
        <v>19</v>
      </c>
      <c r="D95" s="165">
        <f>D94</f>
        <v>1</v>
      </c>
      <c r="E95" s="166"/>
      <c r="F95" s="166"/>
      <c r="G95" s="38">
        <v>0</v>
      </c>
      <c r="H95" s="39">
        <f t="shared" ref="H95" si="3">D95*G95</f>
        <v>0</v>
      </c>
    </row>
    <row r="96" spans="1:8" ht="30" x14ac:dyDescent="0.25">
      <c r="A96" s="45" t="s">
        <v>59</v>
      </c>
      <c r="B96" s="86" t="s">
        <v>49</v>
      </c>
      <c r="C96" s="28" t="s">
        <v>7</v>
      </c>
      <c r="D96" s="29">
        <f>(1.1+0.81)*2.1+
(0.92+0.84*2+1.44+1.2)*2.04</f>
        <v>14.700600000000001</v>
      </c>
      <c r="E96" s="30">
        <v>0</v>
      </c>
      <c r="F96" s="30">
        <f>D96*E96</f>
        <v>0</v>
      </c>
      <c r="G96" s="56"/>
      <c r="H96" s="57"/>
    </row>
    <row r="97" spans="1:11" x14ac:dyDescent="0.25">
      <c r="A97" s="47"/>
      <c r="B97" s="7" t="s">
        <v>51</v>
      </c>
      <c r="C97" s="2" t="s">
        <v>8</v>
      </c>
      <c r="D97" s="9">
        <f>0.09*D96</f>
        <v>1.3230540000000002</v>
      </c>
      <c r="E97" s="16"/>
      <c r="F97" s="16"/>
      <c r="G97" s="15">
        <v>0</v>
      </c>
      <c r="H97" s="32">
        <f>D97*G97</f>
        <v>0</v>
      </c>
    </row>
    <row r="98" spans="1:11" ht="30.75" thickBot="1" x14ac:dyDescent="0.3">
      <c r="A98" s="50"/>
      <c r="B98" s="61" t="s">
        <v>164</v>
      </c>
      <c r="C98" s="3" t="s">
        <v>7</v>
      </c>
      <c r="D98" s="21">
        <f>0.7*D96</f>
        <v>10.290420000000001</v>
      </c>
      <c r="E98" s="22"/>
      <c r="F98" s="22"/>
      <c r="G98" s="23">
        <v>0</v>
      </c>
      <c r="H98" s="51">
        <f>D98*G98</f>
        <v>0</v>
      </c>
    </row>
    <row r="99" spans="1:11" ht="30" x14ac:dyDescent="0.25">
      <c r="A99" s="162"/>
      <c r="B99" s="86" t="s">
        <v>115</v>
      </c>
      <c r="C99" s="28" t="s">
        <v>7</v>
      </c>
      <c r="D99" s="29">
        <f>0.34*0.17</f>
        <v>5.7800000000000011E-2</v>
      </c>
      <c r="E99" s="53"/>
      <c r="F99" s="53"/>
      <c r="G99" s="83"/>
      <c r="H99" s="84"/>
    </row>
    <row r="100" spans="1:11" x14ac:dyDescent="0.25">
      <c r="A100" s="47"/>
      <c r="B100" s="7" t="s">
        <v>51</v>
      </c>
      <c r="C100" s="2" t="s">
        <v>8</v>
      </c>
      <c r="D100" s="9">
        <f>0.09*D99</f>
        <v>5.2020000000000009E-3</v>
      </c>
      <c r="E100" s="16"/>
      <c r="F100" s="16"/>
      <c r="G100" s="15">
        <v>0</v>
      </c>
      <c r="H100" s="32">
        <f>D100*G100</f>
        <v>0</v>
      </c>
    </row>
    <row r="101" spans="1:11" ht="30.75" thickBot="1" x14ac:dyDescent="0.3">
      <c r="A101" s="46"/>
      <c r="B101" s="42" t="s">
        <v>164</v>
      </c>
      <c r="C101" s="35" t="s">
        <v>7</v>
      </c>
      <c r="D101" s="36">
        <f>0.7*D99</f>
        <v>4.0460000000000003E-2</v>
      </c>
      <c r="E101" s="37"/>
      <c r="F101" s="37"/>
      <c r="G101" s="38">
        <v>0</v>
      </c>
      <c r="H101" s="39">
        <f>D101*G101</f>
        <v>0</v>
      </c>
    </row>
    <row r="102" spans="1:11" x14ac:dyDescent="0.25">
      <c r="A102" s="45" t="s">
        <v>60</v>
      </c>
      <c r="B102" s="94" t="s">
        <v>83</v>
      </c>
      <c r="C102" s="28" t="s">
        <v>17</v>
      </c>
      <c r="D102" s="29">
        <f>20.33+1.1+32.39+0.81</f>
        <v>54.63</v>
      </c>
      <c r="E102" s="30">
        <v>0</v>
      </c>
      <c r="F102" s="30">
        <f>D102*E102</f>
        <v>0</v>
      </c>
      <c r="G102" s="83"/>
      <c r="H102" s="84"/>
    </row>
    <row r="103" spans="1:11" x14ac:dyDescent="0.25">
      <c r="A103" s="102"/>
      <c r="B103" s="7" t="s">
        <v>112</v>
      </c>
      <c r="C103" s="2" t="s">
        <v>17</v>
      </c>
      <c r="D103" s="9">
        <f>D102*1.07</f>
        <v>58.454100000000004</v>
      </c>
      <c r="E103" s="16"/>
      <c r="F103" s="16"/>
      <c r="G103" s="15">
        <v>0</v>
      </c>
      <c r="H103" s="15">
        <f>D103*G103</f>
        <v>0</v>
      </c>
    </row>
    <row r="104" spans="1:11" ht="30.75" thickBot="1" x14ac:dyDescent="0.3">
      <c r="A104" s="156"/>
      <c r="B104" s="175" t="s">
        <v>111</v>
      </c>
      <c r="C104" s="176" t="s">
        <v>19</v>
      </c>
      <c r="D104" s="169">
        <f>0.25*D102</f>
        <v>13.657500000000001</v>
      </c>
      <c r="E104" s="122"/>
      <c r="F104" s="122"/>
      <c r="G104" s="123">
        <v>0</v>
      </c>
      <c r="H104" s="157">
        <f>D104*G104</f>
        <v>0</v>
      </c>
    </row>
    <row r="105" spans="1:11" x14ac:dyDescent="0.25">
      <c r="A105" s="45" t="s">
        <v>62</v>
      </c>
      <c r="B105" s="167" t="s">
        <v>55</v>
      </c>
      <c r="C105" s="28" t="s">
        <v>17</v>
      </c>
      <c r="D105" s="119">
        <f>(2.7-0.06-0.1/2)*3</f>
        <v>7.7700000000000014</v>
      </c>
      <c r="E105" s="30">
        <v>0</v>
      </c>
      <c r="F105" s="30">
        <f>D105*E105</f>
        <v>0</v>
      </c>
      <c r="G105" s="83"/>
      <c r="H105" s="84"/>
      <c r="K105" s="141"/>
    </row>
    <row r="106" spans="1:11" s="144" customFormat="1" ht="45" x14ac:dyDescent="0.25">
      <c r="A106" s="187"/>
      <c r="B106" s="183" t="s">
        <v>91</v>
      </c>
      <c r="C106" s="184" t="s">
        <v>17</v>
      </c>
      <c r="D106" s="185">
        <f>D105*1.25</f>
        <v>9.7125000000000021</v>
      </c>
      <c r="E106" s="186"/>
      <c r="F106" s="186"/>
      <c r="G106" s="15">
        <v>0</v>
      </c>
      <c r="H106" s="32">
        <f>D106*G106</f>
        <v>0</v>
      </c>
      <c r="K106" s="145"/>
    </row>
    <row r="107" spans="1:11" s="144" customFormat="1" ht="15.75" thickBot="1" x14ac:dyDescent="0.3">
      <c r="A107" s="142"/>
      <c r="B107" s="146" t="s">
        <v>161</v>
      </c>
      <c r="C107" s="147" t="s">
        <v>19</v>
      </c>
      <c r="D107" s="148">
        <f>0.15*D105</f>
        <v>1.1655000000000002</v>
      </c>
      <c r="E107" s="143"/>
      <c r="F107" s="143"/>
      <c r="G107" s="38">
        <v>0</v>
      </c>
      <c r="H107" s="39">
        <f>D107*G107</f>
        <v>0</v>
      </c>
      <c r="K107" s="145"/>
    </row>
    <row r="108" spans="1:11" x14ac:dyDescent="0.25">
      <c r="A108" s="45" t="s">
        <v>61</v>
      </c>
      <c r="B108" s="167" t="s">
        <v>185</v>
      </c>
      <c r="C108" s="28" t="s">
        <v>19</v>
      </c>
      <c r="D108" s="119">
        <v>3</v>
      </c>
      <c r="E108" s="30">
        <v>0</v>
      </c>
      <c r="F108" s="30">
        <f>D108*E108</f>
        <v>0</v>
      </c>
      <c r="G108" s="83"/>
      <c r="H108" s="84"/>
      <c r="K108" s="141"/>
    </row>
    <row r="109" spans="1:11" s="144" customFormat="1" ht="15.75" thickBot="1" x14ac:dyDescent="0.3">
      <c r="A109" s="142"/>
      <c r="B109" s="210" t="s">
        <v>186</v>
      </c>
      <c r="C109" s="147" t="s">
        <v>19</v>
      </c>
      <c r="D109" s="148">
        <f>D108</f>
        <v>3</v>
      </c>
      <c r="E109" s="143"/>
      <c r="F109" s="143"/>
      <c r="G109" s="38">
        <v>0</v>
      </c>
      <c r="H109" s="39">
        <f>D109*G109</f>
        <v>0</v>
      </c>
      <c r="K109" s="145"/>
    </row>
    <row r="110" spans="1:11" x14ac:dyDescent="0.25">
      <c r="A110" s="45" t="s">
        <v>71</v>
      </c>
      <c r="B110" s="211" t="s">
        <v>195</v>
      </c>
      <c r="C110" s="28" t="s">
        <v>17</v>
      </c>
      <c r="D110" s="119">
        <f>(2.7-0.06-0.1/2)*2*3</f>
        <v>15.540000000000003</v>
      </c>
      <c r="E110" s="30">
        <v>0</v>
      </c>
      <c r="F110" s="30">
        <f>D110*E110</f>
        <v>0</v>
      </c>
      <c r="G110" s="83"/>
      <c r="H110" s="84"/>
      <c r="K110" s="141"/>
    </row>
    <row r="111" spans="1:11" s="144" customFormat="1" x14ac:dyDescent="0.25">
      <c r="A111" s="187"/>
      <c r="B111" s="7" t="s">
        <v>187</v>
      </c>
      <c r="C111" s="184" t="s">
        <v>17</v>
      </c>
      <c r="D111" s="185">
        <f>D110*1.25</f>
        <v>19.425000000000004</v>
      </c>
      <c r="E111" s="186"/>
      <c r="F111" s="186"/>
      <c r="G111" s="15">
        <v>0</v>
      </c>
      <c r="H111" s="32">
        <f>D111*G111</f>
        <v>0</v>
      </c>
      <c r="K111" s="145"/>
    </row>
    <row r="112" spans="1:11" s="144" customFormat="1" ht="15.75" thickBot="1" x14ac:dyDescent="0.3">
      <c r="A112" s="142"/>
      <c r="B112" s="146" t="s">
        <v>161</v>
      </c>
      <c r="C112" s="147" t="s">
        <v>19</v>
      </c>
      <c r="D112" s="148">
        <f>0.15*D110</f>
        <v>2.3310000000000004</v>
      </c>
      <c r="E112" s="143"/>
      <c r="F112" s="143"/>
      <c r="G112" s="38">
        <v>0</v>
      </c>
      <c r="H112" s="39">
        <f>D112*G112</f>
        <v>0</v>
      </c>
      <c r="K112" s="145"/>
    </row>
    <row r="113" spans="1:8" ht="30" x14ac:dyDescent="0.25">
      <c r="A113" s="60" t="s">
        <v>72</v>
      </c>
      <c r="B113" s="199" t="s">
        <v>173</v>
      </c>
      <c r="C113" s="25" t="s">
        <v>16</v>
      </c>
      <c r="D113" s="41">
        <f>(2.7-0.06-0.02)*2*11+N("двери в квартиры")+
(2.7-0.06-0.02)*2*2+N("двери в лифтовой холл")</f>
        <v>68.12</v>
      </c>
      <c r="E113" s="55">
        <v>0</v>
      </c>
      <c r="F113" s="55">
        <f>D113*E113</f>
        <v>0</v>
      </c>
      <c r="G113" s="95"/>
      <c r="H113" s="96"/>
    </row>
    <row r="114" spans="1:8" x14ac:dyDescent="0.25">
      <c r="A114" s="47"/>
      <c r="B114" s="7" t="s">
        <v>68</v>
      </c>
      <c r="C114" s="2" t="s">
        <v>19</v>
      </c>
      <c r="D114" s="9">
        <f>D113*25/300</f>
        <v>5.6766666666666667</v>
      </c>
      <c r="E114" s="16"/>
      <c r="F114" s="16"/>
      <c r="G114" s="15">
        <v>0</v>
      </c>
      <c r="H114" s="32">
        <f>D114*G114</f>
        <v>0</v>
      </c>
    </row>
    <row r="115" spans="1:8" ht="15.75" thickBot="1" x14ac:dyDescent="0.3">
      <c r="A115" s="46"/>
      <c r="B115" s="40" t="s">
        <v>69</v>
      </c>
      <c r="C115" s="35" t="s">
        <v>19</v>
      </c>
      <c r="D115" s="36">
        <f>D113*2*1.1/25</f>
        <v>5.9945600000000017</v>
      </c>
      <c r="E115" s="37"/>
      <c r="F115" s="37"/>
      <c r="G115" s="38">
        <v>0</v>
      </c>
      <c r="H115" s="39">
        <f>D115*G115</f>
        <v>0</v>
      </c>
    </row>
    <row r="116" spans="1:8" ht="15.75" thickBot="1" x14ac:dyDescent="0.3">
      <c r="A116" s="88"/>
      <c r="B116" s="89" t="s">
        <v>54</v>
      </c>
      <c r="C116" s="90"/>
      <c r="D116" s="91"/>
      <c r="E116" s="92"/>
      <c r="F116" s="92"/>
      <c r="G116" s="92"/>
      <c r="H116" s="93"/>
    </row>
    <row r="117" spans="1:8" ht="30" x14ac:dyDescent="0.25">
      <c r="A117" s="45" t="s">
        <v>73</v>
      </c>
      <c r="B117" s="86" t="s">
        <v>175</v>
      </c>
      <c r="C117" s="28" t="s">
        <v>17</v>
      </c>
      <c r="D117" s="119">
        <f>(1.1+2.3*2)*2*2+
(1.2+2.3*2)*2</f>
        <v>34.4</v>
      </c>
      <c r="E117" s="30">
        <v>0</v>
      </c>
      <c r="F117" s="30">
        <f>D117*E117</f>
        <v>0</v>
      </c>
      <c r="G117" s="53"/>
      <c r="H117" s="54"/>
    </row>
    <row r="118" spans="1:8" ht="30.75" thickBot="1" x14ac:dyDescent="0.3">
      <c r="A118" s="50"/>
      <c r="B118" s="61" t="s">
        <v>33</v>
      </c>
      <c r="C118" s="3" t="s">
        <v>17</v>
      </c>
      <c r="D118" s="178">
        <f>D117</f>
        <v>34.4</v>
      </c>
      <c r="E118" s="22"/>
      <c r="F118" s="22"/>
      <c r="G118" s="23">
        <v>0</v>
      </c>
      <c r="H118" s="51">
        <f>D118*G118</f>
        <v>0</v>
      </c>
    </row>
    <row r="119" spans="1:8" ht="30" x14ac:dyDescent="0.25">
      <c r="A119" s="45" t="s">
        <v>74</v>
      </c>
      <c r="B119" s="86" t="s">
        <v>162</v>
      </c>
      <c r="C119" s="28" t="s">
        <v>125</v>
      </c>
      <c r="D119" s="119">
        <f>2.6*2*2</f>
        <v>10.4</v>
      </c>
      <c r="E119" s="30">
        <v>0</v>
      </c>
      <c r="F119" s="30">
        <f>D119*E119</f>
        <v>0</v>
      </c>
      <c r="G119" s="53"/>
      <c r="H119" s="54"/>
    </row>
    <row r="120" spans="1:8" ht="30.75" thickBot="1" x14ac:dyDescent="0.3">
      <c r="A120" s="46"/>
      <c r="B120" s="42" t="s">
        <v>33</v>
      </c>
      <c r="C120" s="35" t="s">
        <v>125</v>
      </c>
      <c r="D120" s="170">
        <f>D119</f>
        <v>10.4</v>
      </c>
      <c r="E120" s="37"/>
      <c r="F120" s="37"/>
      <c r="G120" s="38">
        <v>0</v>
      </c>
      <c r="H120" s="39">
        <f>D120*G120</f>
        <v>0</v>
      </c>
    </row>
    <row r="121" spans="1:8" x14ac:dyDescent="0.25">
      <c r="A121" s="45" t="s">
        <v>75</v>
      </c>
      <c r="B121" s="27" t="s">
        <v>53</v>
      </c>
      <c r="C121" s="28" t="s">
        <v>7</v>
      </c>
      <c r="D121" s="119">
        <f>10.82*2.6</f>
        <v>28.132000000000001</v>
      </c>
      <c r="E121" s="30">
        <v>0</v>
      </c>
      <c r="F121" s="30">
        <f>D121*E121</f>
        <v>0</v>
      </c>
      <c r="G121" s="83"/>
      <c r="H121" s="84"/>
    </row>
    <row r="122" spans="1:8" ht="15.75" thickBot="1" x14ac:dyDescent="0.3">
      <c r="A122" s="46"/>
      <c r="B122" s="40" t="s">
        <v>6</v>
      </c>
      <c r="C122" s="35" t="s">
        <v>8</v>
      </c>
      <c r="D122" s="170">
        <f>0.2*D121</f>
        <v>5.6264000000000003</v>
      </c>
      <c r="E122" s="37"/>
      <c r="F122" s="37"/>
      <c r="G122" s="23">
        <v>0</v>
      </c>
      <c r="H122" s="51">
        <f>D122*G122</f>
        <v>0</v>
      </c>
    </row>
    <row r="123" spans="1:8" ht="45" x14ac:dyDescent="0.25">
      <c r="A123" s="45" t="s">
        <v>147</v>
      </c>
      <c r="B123" s="58" t="s">
        <v>78</v>
      </c>
      <c r="C123" s="28" t="s">
        <v>7</v>
      </c>
      <c r="D123" s="119">
        <f>10.82*2.6</f>
        <v>28.132000000000001</v>
      </c>
      <c r="E123" s="30">
        <v>0</v>
      </c>
      <c r="F123" s="30">
        <f>D123*E123</f>
        <v>0</v>
      </c>
      <c r="G123" s="53"/>
      <c r="H123" s="54"/>
    </row>
    <row r="124" spans="1:8" x14ac:dyDescent="0.25">
      <c r="A124" s="47"/>
      <c r="B124" s="7" t="s">
        <v>13</v>
      </c>
      <c r="C124" s="2" t="s">
        <v>15</v>
      </c>
      <c r="D124" s="171">
        <f>5.5*D123</f>
        <v>154.726</v>
      </c>
      <c r="E124" s="16"/>
      <c r="F124" s="16"/>
      <c r="G124" s="15">
        <v>0</v>
      </c>
      <c r="H124" s="32">
        <f>D124*G124</f>
        <v>0</v>
      </c>
    </row>
    <row r="125" spans="1:8" x14ac:dyDescent="0.25">
      <c r="A125" s="47"/>
      <c r="B125" s="7" t="s">
        <v>80</v>
      </c>
      <c r="C125" s="2" t="s">
        <v>15</v>
      </c>
      <c r="D125" s="171">
        <f>0.4*D123</f>
        <v>11.252800000000001</v>
      </c>
      <c r="E125" s="16"/>
      <c r="F125" s="16"/>
      <c r="G125" s="15">
        <v>0</v>
      </c>
      <c r="H125" s="32">
        <f>D125*G125</f>
        <v>0</v>
      </c>
    </row>
    <row r="126" spans="1:8" ht="15.75" thickBot="1" x14ac:dyDescent="0.3">
      <c r="A126" s="50"/>
      <c r="B126" s="20" t="s">
        <v>14</v>
      </c>
      <c r="C126" s="3" t="s">
        <v>7</v>
      </c>
      <c r="D126" s="178">
        <f>D123*1.05</f>
        <v>29.538600000000002</v>
      </c>
      <c r="E126" s="22"/>
      <c r="F126" s="22"/>
      <c r="G126" s="23">
        <v>0</v>
      </c>
      <c r="H126" s="51">
        <f>D126*G126</f>
        <v>0</v>
      </c>
    </row>
    <row r="127" spans="1:8" ht="30.75" thickBot="1" x14ac:dyDescent="0.3">
      <c r="A127" s="64" t="s">
        <v>148</v>
      </c>
      <c r="B127" s="108" t="s">
        <v>165</v>
      </c>
      <c r="C127" s="5" t="s">
        <v>19</v>
      </c>
      <c r="D127" s="168">
        <v>3</v>
      </c>
      <c r="E127" s="109">
        <v>0</v>
      </c>
      <c r="F127" s="109">
        <f>D127*E127</f>
        <v>0</v>
      </c>
      <c r="G127" s="110"/>
      <c r="H127" s="111"/>
    </row>
    <row r="128" spans="1:8" ht="62.25" customHeight="1" x14ac:dyDescent="0.25">
      <c r="A128" s="64" t="s">
        <v>149</v>
      </c>
      <c r="B128" s="65" t="s">
        <v>127</v>
      </c>
      <c r="C128" s="5" t="s">
        <v>7</v>
      </c>
      <c r="D128" s="168">
        <f>(0.25+0.025+0.025)*2.6*2</f>
        <v>1.5600000000000003</v>
      </c>
      <c r="E128" s="30">
        <v>0</v>
      </c>
      <c r="F128" s="30">
        <f>D128*E128</f>
        <v>0</v>
      </c>
      <c r="G128" s="66"/>
      <c r="H128" s="67"/>
    </row>
    <row r="129" spans="1:8" x14ac:dyDescent="0.25">
      <c r="A129" s="47"/>
      <c r="B129" s="7" t="s">
        <v>6</v>
      </c>
      <c r="C129" s="2" t="s">
        <v>8</v>
      </c>
      <c r="D129" s="171">
        <f>0.2*D128</f>
        <v>0.31200000000000006</v>
      </c>
      <c r="E129" s="16"/>
      <c r="F129" s="16"/>
      <c r="G129" s="15">
        <v>0</v>
      </c>
      <c r="H129" s="32">
        <f>D129*G129</f>
        <v>0</v>
      </c>
    </row>
    <row r="130" spans="1:8" ht="30" x14ac:dyDescent="0.25">
      <c r="A130" s="47"/>
      <c r="B130" s="49" t="s">
        <v>38</v>
      </c>
      <c r="C130" s="2" t="s">
        <v>15</v>
      </c>
      <c r="D130" s="171">
        <f>3.75*D128</f>
        <v>5.8500000000000014</v>
      </c>
      <c r="E130" s="16"/>
      <c r="F130" s="16"/>
      <c r="G130" s="15">
        <v>0</v>
      </c>
      <c r="H130" s="32">
        <f>D130*G130</f>
        <v>0</v>
      </c>
    </row>
    <row r="131" spans="1:8" ht="15.75" thickBot="1" x14ac:dyDescent="0.3">
      <c r="A131" s="46"/>
      <c r="B131" s="42" t="s">
        <v>39</v>
      </c>
      <c r="C131" s="35" t="s">
        <v>15</v>
      </c>
      <c r="D131" s="170">
        <f>1.8*D128</f>
        <v>2.8080000000000007</v>
      </c>
      <c r="E131" s="37"/>
      <c r="F131" s="37"/>
      <c r="G131" s="38">
        <v>0</v>
      </c>
      <c r="H131" s="39">
        <f>D131*G131</f>
        <v>0</v>
      </c>
    </row>
    <row r="132" spans="1:8" x14ac:dyDescent="0.25">
      <c r="A132" s="45" t="s">
        <v>150</v>
      </c>
      <c r="B132" s="27" t="s">
        <v>128</v>
      </c>
      <c r="C132" s="28" t="s">
        <v>7</v>
      </c>
      <c r="D132" s="119">
        <f>(0.25+0.025+0.025)*2.6*2</f>
        <v>1.5600000000000003</v>
      </c>
      <c r="E132" s="30">
        <v>0</v>
      </c>
      <c r="F132" s="30">
        <f>D132*E132</f>
        <v>0</v>
      </c>
      <c r="G132" s="53"/>
      <c r="H132" s="54"/>
    </row>
    <row r="133" spans="1:8" x14ac:dyDescent="0.25">
      <c r="A133" s="47"/>
      <c r="B133" s="77" t="s">
        <v>44</v>
      </c>
      <c r="C133" s="75" t="s">
        <v>7</v>
      </c>
      <c r="D133" s="180">
        <f>0.2*D132</f>
        <v>0.31200000000000006</v>
      </c>
      <c r="E133" s="101"/>
      <c r="F133" s="101"/>
      <c r="G133" s="15">
        <v>0</v>
      </c>
      <c r="H133" s="32">
        <f>D133*G133</f>
        <v>0</v>
      </c>
    </row>
    <row r="134" spans="1:8" ht="15.75" thickBot="1" x14ac:dyDescent="0.3">
      <c r="A134" s="46"/>
      <c r="B134" s="82" t="s">
        <v>130</v>
      </c>
      <c r="C134" s="35" t="s">
        <v>15</v>
      </c>
      <c r="D134" s="170">
        <f>0.4*D132</f>
        <v>0.62400000000000011</v>
      </c>
      <c r="E134" s="38"/>
      <c r="F134" s="38"/>
      <c r="G134" s="38">
        <v>0</v>
      </c>
      <c r="H134" s="39">
        <f>D134*G134</f>
        <v>0</v>
      </c>
    </row>
    <row r="135" spans="1:8" x14ac:dyDescent="0.25">
      <c r="A135" s="107" t="s">
        <v>151</v>
      </c>
      <c r="B135" s="58" t="s">
        <v>116</v>
      </c>
      <c r="C135" s="63" t="s">
        <v>7</v>
      </c>
      <c r="D135" s="168">
        <f>2.87*(2.17+0.03)</f>
        <v>6.3139999999999992</v>
      </c>
      <c r="E135" s="30">
        <v>0</v>
      </c>
      <c r="F135" s="30">
        <f>D135*E135</f>
        <v>0</v>
      </c>
      <c r="G135" s="83"/>
      <c r="H135" s="84"/>
    </row>
    <row r="136" spans="1:8" x14ac:dyDescent="0.25">
      <c r="A136" s="47"/>
      <c r="B136" s="77" t="s">
        <v>92</v>
      </c>
      <c r="C136" s="2" t="s">
        <v>7</v>
      </c>
      <c r="D136" s="171">
        <f>D135</f>
        <v>6.3139999999999992</v>
      </c>
      <c r="E136" s="16"/>
      <c r="F136" s="16"/>
      <c r="G136" s="15">
        <v>0</v>
      </c>
      <c r="H136" s="32">
        <f>D136*G136</f>
        <v>0</v>
      </c>
    </row>
    <row r="137" spans="1:8" ht="15.75" thickBot="1" x14ac:dyDescent="0.3">
      <c r="A137" s="46"/>
      <c r="B137" s="42" t="s">
        <v>177</v>
      </c>
      <c r="C137" s="35" t="s">
        <v>19</v>
      </c>
      <c r="D137" s="170">
        <f>1.05*D135</f>
        <v>6.6296999999999997</v>
      </c>
      <c r="E137" s="37"/>
      <c r="F137" s="37"/>
      <c r="G137" s="38">
        <v>0</v>
      </c>
      <c r="H137" s="39">
        <f>D137*G137</f>
        <v>0</v>
      </c>
    </row>
    <row r="138" spans="1:8" x14ac:dyDescent="0.25">
      <c r="A138" s="107" t="s">
        <v>152</v>
      </c>
      <c r="B138" s="58" t="s">
        <v>117</v>
      </c>
      <c r="C138" s="63" t="s">
        <v>7</v>
      </c>
      <c r="D138" s="168">
        <f>(2.6-0.03)*0.2</f>
        <v>0.51400000000000012</v>
      </c>
      <c r="E138" s="30">
        <v>0</v>
      </c>
      <c r="F138" s="30">
        <f>D138*E138</f>
        <v>0</v>
      </c>
      <c r="G138" s="83"/>
      <c r="H138" s="84"/>
    </row>
    <row r="139" spans="1:8" x14ac:dyDescent="0.25">
      <c r="A139" s="47"/>
      <c r="B139" s="77" t="s">
        <v>92</v>
      </c>
      <c r="C139" s="2" t="s">
        <v>7</v>
      </c>
      <c r="D139" s="171">
        <f>D138</f>
        <v>0.51400000000000012</v>
      </c>
      <c r="E139" s="16"/>
      <c r="F139" s="16"/>
      <c r="G139" s="15">
        <v>0</v>
      </c>
      <c r="H139" s="32">
        <f>D139*G139</f>
        <v>0</v>
      </c>
    </row>
    <row r="140" spans="1:8" ht="15.75" thickBot="1" x14ac:dyDescent="0.3">
      <c r="A140" s="46"/>
      <c r="B140" s="42" t="s">
        <v>177</v>
      </c>
      <c r="C140" s="35" t="s">
        <v>19</v>
      </c>
      <c r="D140" s="36">
        <f>1.05*D138</f>
        <v>0.53970000000000018</v>
      </c>
      <c r="E140" s="37"/>
      <c r="F140" s="37"/>
      <c r="G140" s="38">
        <v>0</v>
      </c>
      <c r="H140" s="39">
        <f>D140*G140</f>
        <v>0</v>
      </c>
    </row>
    <row r="141" spans="1:8" x14ac:dyDescent="0.25">
      <c r="A141" s="45" t="s">
        <v>153</v>
      </c>
      <c r="B141" s="94" t="s">
        <v>83</v>
      </c>
      <c r="C141" s="28" t="s">
        <v>17</v>
      </c>
      <c r="D141" s="29">
        <v>13.72</v>
      </c>
      <c r="E141" s="30">
        <v>0</v>
      </c>
      <c r="F141" s="30">
        <f>D141*E141</f>
        <v>0</v>
      </c>
      <c r="G141" s="83"/>
      <c r="H141" s="84"/>
    </row>
    <row r="142" spans="1:8" x14ac:dyDescent="0.25">
      <c r="A142" s="47"/>
      <c r="B142" s="7" t="s">
        <v>118</v>
      </c>
      <c r="C142" s="2" t="s">
        <v>17</v>
      </c>
      <c r="D142" s="9">
        <f>D141*1.07</f>
        <v>14.680400000000002</v>
      </c>
      <c r="E142" s="16"/>
      <c r="F142" s="16"/>
      <c r="G142" s="15">
        <v>0</v>
      </c>
      <c r="H142" s="32">
        <f>D142*G142</f>
        <v>0</v>
      </c>
    </row>
    <row r="143" spans="1:8" ht="30.75" thickBot="1" x14ac:dyDescent="0.3">
      <c r="A143" s="156"/>
      <c r="B143" s="175" t="s">
        <v>119</v>
      </c>
      <c r="C143" s="176" t="s">
        <v>19</v>
      </c>
      <c r="D143" s="169">
        <f>0.2*D141</f>
        <v>2.7440000000000002</v>
      </c>
      <c r="E143" s="122"/>
      <c r="F143" s="122"/>
      <c r="G143" s="23">
        <v>0</v>
      </c>
      <c r="H143" s="51">
        <f>D143*G143</f>
        <v>0</v>
      </c>
    </row>
    <row r="144" spans="1:8" x14ac:dyDescent="0.25">
      <c r="A144" s="45" t="s">
        <v>154</v>
      </c>
      <c r="B144" s="94" t="s">
        <v>55</v>
      </c>
      <c r="C144" s="28" t="s">
        <v>17</v>
      </c>
      <c r="D144" s="29">
        <f>(2.6-0.03)*2</f>
        <v>5.1400000000000006</v>
      </c>
      <c r="E144" s="30">
        <v>0</v>
      </c>
      <c r="F144" s="30">
        <f>D144*E144</f>
        <v>0</v>
      </c>
      <c r="G144" s="83"/>
      <c r="H144" s="84"/>
    </row>
    <row r="145" spans="1:8" ht="30" x14ac:dyDescent="0.25">
      <c r="A145" s="47"/>
      <c r="B145" s="49" t="s">
        <v>120</v>
      </c>
      <c r="C145" s="2" t="s">
        <v>17</v>
      </c>
      <c r="D145" s="171">
        <f>D144*1.1</f>
        <v>5.6540000000000008</v>
      </c>
      <c r="E145" s="16"/>
      <c r="F145" s="16"/>
      <c r="G145" s="15">
        <v>0</v>
      </c>
      <c r="H145" s="32">
        <f>D145*G145</f>
        <v>0</v>
      </c>
    </row>
    <row r="146" spans="1:8" ht="15.75" thickBot="1" x14ac:dyDescent="0.3">
      <c r="A146" s="46"/>
      <c r="B146" s="172" t="s">
        <v>161</v>
      </c>
      <c r="C146" s="173" t="s">
        <v>19</v>
      </c>
      <c r="D146" s="174">
        <f>0.15*D144</f>
        <v>0.77100000000000002</v>
      </c>
      <c r="E146" s="37"/>
      <c r="F146" s="37"/>
      <c r="G146" s="38">
        <v>0</v>
      </c>
      <c r="H146" s="39">
        <f>D146*G146</f>
        <v>0</v>
      </c>
    </row>
    <row r="147" spans="1:8" ht="38.25" customHeight="1" thickBot="1" x14ac:dyDescent="0.3">
      <c r="A147" s="64" t="s">
        <v>155</v>
      </c>
      <c r="B147" s="182" t="s">
        <v>166</v>
      </c>
      <c r="C147" s="177" t="s">
        <v>19</v>
      </c>
      <c r="D147" s="168">
        <v>3</v>
      </c>
      <c r="E147" s="109">
        <v>0</v>
      </c>
      <c r="F147" s="109">
        <f>D147*E147</f>
        <v>0</v>
      </c>
      <c r="G147" s="110"/>
      <c r="H147" s="111"/>
    </row>
    <row r="148" spans="1:8" ht="30" x14ac:dyDescent="0.25">
      <c r="A148" s="45" t="s">
        <v>156</v>
      </c>
      <c r="B148" s="58" t="s">
        <v>121</v>
      </c>
      <c r="C148" s="28" t="s">
        <v>7</v>
      </c>
      <c r="D148" s="119">
        <f>(0.9*2+1)*(2.6-2.2)</f>
        <v>1.1199999999999997</v>
      </c>
      <c r="E148" s="30">
        <v>0</v>
      </c>
      <c r="F148" s="30">
        <f>D148*E148</f>
        <v>0</v>
      </c>
      <c r="G148" s="30"/>
      <c r="H148" s="31"/>
    </row>
    <row r="149" spans="1:8" x14ac:dyDescent="0.25">
      <c r="A149" s="47"/>
      <c r="B149" s="7" t="s">
        <v>122</v>
      </c>
      <c r="C149" s="2" t="s">
        <v>7</v>
      </c>
      <c r="D149" s="171">
        <f>D148</f>
        <v>1.1199999999999997</v>
      </c>
      <c r="E149" s="16"/>
      <c r="F149" s="16"/>
      <c r="G149" s="15">
        <v>0</v>
      </c>
      <c r="H149" s="32">
        <f>D149*G149</f>
        <v>0</v>
      </c>
    </row>
    <row r="150" spans="1:8" ht="15.75" thickBot="1" x14ac:dyDescent="0.3">
      <c r="A150" s="46"/>
      <c r="B150" s="40" t="s">
        <v>123</v>
      </c>
      <c r="C150" s="35" t="s">
        <v>7</v>
      </c>
      <c r="D150" s="170">
        <f>D148</f>
        <v>1.1199999999999997</v>
      </c>
      <c r="E150" s="37"/>
      <c r="F150" s="37"/>
      <c r="G150" s="38">
        <v>0</v>
      </c>
      <c r="H150" s="39">
        <f>D150*G150</f>
        <v>0</v>
      </c>
    </row>
    <row r="151" spans="1:8" ht="30" x14ac:dyDescent="0.25">
      <c r="A151" s="45" t="s">
        <v>157</v>
      </c>
      <c r="B151" s="59" t="s">
        <v>124</v>
      </c>
      <c r="C151" s="28" t="s">
        <v>125</v>
      </c>
      <c r="D151" s="119">
        <f>2.25*2*3</f>
        <v>13.5</v>
      </c>
      <c r="E151" s="30">
        <v>0</v>
      </c>
      <c r="F151" s="30">
        <f>D151*E151</f>
        <v>0</v>
      </c>
      <c r="G151" s="83"/>
      <c r="H151" s="84"/>
    </row>
    <row r="152" spans="1:8" ht="30" x14ac:dyDescent="0.25">
      <c r="A152" s="47"/>
      <c r="B152" s="188" t="s">
        <v>132</v>
      </c>
      <c r="C152" s="189" t="s">
        <v>125</v>
      </c>
      <c r="D152" s="171">
        <f>D151</f>
        <v>13.5</v>
      </c>
      <c r="E152" s="16"/>
      <c r="F152" s="16"/>
      <c r="G152" s="15">
        <v>0</v>
      </c>
      <c r="H152" s="32">
        <f>D152*G152</f>
        <v>0</v>
      </c>
    </row>
    <row r="153" spans="1:8" ht="15.75" thickBot="1" x14ac:dyDescent="0.3">
      <c r="A153" s="46"/>
      <c r="B153" s="172" t="s">
        <v>123</v>
      </c>
      <c r="C153" s="190" t="s">
        <v>125</v>
      </c>
      <c r="D153" s="170">
        <f>D151</f>
        <v>13.5</v>
      </c>
      <c r="E153" s="37"/>
      <c r="F153" s="37"/>
      <c r="G153" s="38">
        <v>0</v>
      </c>
      <c r="H153" s="39">
        <f>D153*G153</f>
        <v>0</v>
      </c>
    </row>
    <row r="154" spans="1:8" x14ac:dyDescent="0.25">
      <c r="A154" s="45" t="s">
        <v>158</v>
      </c>
      <c r="B154" s="191" t="s">
        <v>145</v>
      </c>
      <c r="C154" s="192" t="s">
        <v>125</v>
      </c>
      <c r="D154" s="119">
        <f>0.9*2+1</f>
        <v>2.8</v>
      </c>
      <c r="E154" s="30">
        <v>0</v>
      </c>
      <c r="F154" s="30">
        <f>D154*E154</f>
        <v>0</v>
      </c>
      <c r="G154" s="83"/>
      <c r="H154" s="84"/>
    </row>
    <row r="155" spans="1:8" x14ac:dyDescent="0.25">
      <c r="A155" s="47"/>
      <c r="B155" s="188" t="s">
        <v>126</v>
      </c>
      <c r="C155" s="189" t="s">
        <v>125</v>
      </c>
      <c r="D155" s="171">
        <f>0.9*2+1</f>
        <v>2.8</v>
      </c>
      <c r="E155" s="16"/>
      <c r="F155" s="16"/>
      <c r="G155" s="15">
        <v>0</v>
      </c>
      <c r="H155" s="32">
        <f>D155*G155</f>
        <v>0</v>
      </c>
    </row>
    <row r="156" spans="1:8" ht="15.75" thickBot="1" x14ac:dyDescent="0.3">
      <c r="A156" s="50"/>
      <c r="B156" s="193" t="s">
        <v>123</v>
      </c>
      <c r="C156" s="194" t="s">
        <v>125</v>
      </c>
      <c r="D156" s="178">
        <f>D154</f>
        <v>2.8</v>
      </c>
      <c r="E156" s="22"/>
      <c r="F156" s="22"/>
      <c r="G156" s="23">
        <v>0</v>
      </c>
      <c r="H156" s="51">
        <f>D156*G156</f>
        <v>0</v>
      </c>
    </row>
    <row r="157" spans="1:8" ht="30" x14ac:dyDescent="0.25">
      <c r="A157" s="45" t="s">
        <v>159</v>
      </c>
      <c r="B157" s="191" t="s">
        <v>131</v>
      </c>
      <c r="C157" s="192" t="s">
        <v>125</v>
      </c>
      <c r="D157" s="119">
        <f>(2.6-2.25)*3*2</f>
        <v>2.1000000000000005</v>
      </c>
      <c r="E157" s="30">
        <v>0</v>
      </c>
      <c r="F157" s="30">
        <f>D157*E157</f>
        <v>0</v>
      </c>
      <c r="G157" s="83"/>
      <c r="H157" s="84"/>
    </row>
    <row r="158" spans="1:8" ht="30" x14ac:dyDescent="0.25">
      <c r="A158" s="47"/>
      <c r="B158" s="188" t="s">
        <v>146</v>
      </c>
      <c r="C158" s="189" t="s">
        <v>125</v>
      </c>
      <c r="D158" s="171">
        <f>D157</f>
        <v>2.1000000000000005</v>
      </c>
      <c r="E158" s="16"/>
      <c r="F158" s="16"/>
      <c r="G158" s="15">
        <v>0</v>
      </c>
      <c r="H158" s="32">
        <f>D158*G158</f>
        <v>0</v>
      </c>
    </row>
    <row r="159" spans="1:8" ht="15.75" thickBot="1" x14ac:dyDescent="0.3">
      <c r="A159" s="50"/>
      <c r="B159" s="193" t="s">
        <v>123</v>
      </c>
      <c r="C159" s="194" t="s">
        <v>125</v>
      </c>
      <c r="D159" s="178">
        <f>D157</f>
        <v>2.1000000000000005</v>
      </c>
      <c r="E159" s="22"/>
      <c r="F159" s="22"/>
      <c r="G159" s="23">
        <v>0</v>
      </c>
      <c r="H159" s="51">
        <f>D159*G159</f>
        <v>0</v>
      </c>
    </row>
    <row r="160" spans="1:8" x14ac:dyDescent="0.25">
      <c r="A160" s="45" t="s">
        <v>160</v>
      </c>
      <c r="B160" s="87" t="s">
        <v>134</v>
      </c>
      <c r="C160" s="192" t="s">
        <v>125</v>
      </c>
      <c r="D160" s="119">
        <f>2.6*6</f>
        <v>15.600000000000001</v>
      </c>
      <c r="E160" s="30">
        <v>0</v>
      </c>
      <c r="F160" s="30">
        <f>D160*E160</f>
        <v>0</v>
      </c>
      <c r="G160" s="83"/>
      <c r="H160" s="84"/>
    </row>
    <row r="161" spans="1:8" ht="30" x14ac:dyDescent="0.25">
      <c r="A161" s="47"/>
      <c r="B161" s="188" t="s">
        <v>135</v>
      </c>
      <c r="C161" s="189" t="s">
        <v>125</v>
      </c>
      <c r="D161" s="171">
        <f>2.6*2</f>
        <v>5.2</v>
      </c>
      <c r="E161" s="16"/>
      <c r="F161" s="16"/>
      <c r="G161" s="15">
        <v>0</v>
      </c>
      <c r="H161" s="32">
        <f>D161*G161</f>
        <v>0</v>
      </c>
    </row>
    <row r="162" spans="1:8" ht="45" x14ac:dyDescent="0.25">
      <c r="A162" s="47"/>
      <c r="B162" s="188" t="s">
        <v>136</v>
      </c>
      <c r="C162" s="189" t="s">
        <v>125</v>
      </c>
      <c r="D162" s="171">
        <f>2.6*2</f>
        <v>5.2</v>
      </c>
      <c r="E162" s="16"/>
      <c r="F162" s="16"/>
      <c r="G162" s="15">
        <v>0</v>
      </c>
      <c r="H162" s="32">
        <f>D162*G162</f>
        <v>0</v>
      </c>
    </row>
    <row r="163" spans="1:8" ht="30" x14ac:dyDescent="0.25">
      <c r="A163" s="47"/>
      <c r="B163" s="188" t="s">
        <v>137</v>
      </c>
      <c r="C163" s="189" t="s">
        <v>125</v>
      </c>
      <c r="D163" s="171">
        <f>2.6*2</f>
        <v>5.2</v>
      </c>
      <c r="E163" s="16"/>
      <c r="F163" s="16"/>
      <c r="G163" s="15">
        <v>0</v>
      </c>
      <c r="H163" s="32">
        <f>D163*G163</f>
        <v>0</v>
      </c>
    </row>
    <row r="164" spans="1:8" ht="15.75" thickBot="1" x14ac:dyDescent="0.3">
      <c r="A164" s="50"/>
      <c r="B164" s="193" t="s">
        <v>123</v>
      </c>
      <c r="C164" s="194" t="s">
        <v>125</v>
      </c>
      <c r="D164" s="178">
        <f>D160</f>
        <v>15.600000000000001</v>
      </c>
      <c r="E164" s="22"/>
      <c r="F164" s="22"/>
      <c r="G164" s="23">
        <v>0</v>
      </c>
      <c r="H164" s="51">
        <f>D164*G164</f>
        <v>0</v>
      </c>
    </row>
    <row r="165" spans="1:8" x14ac:dyDescent="0.25">
      <c r="A165" s="45" t="s">
        <v>163</v>
      </c>
      <c r="B165" s="27" t="s">
        <v>138</v>
      </c>
      <c r="C165" s="28" t="s">
        <v>125</v>
      </c>
      <c r="D165" s="119">
        <f>2.87+2.17*2</f>
        <v>7.21</v>
      </c>
      <c r="E165" s="30">
        <v>0</v>
      </c>
      <c r="F165" s="30">
        <f>D165*E165</f>
        <v>0</v>
      </c>
      <c r="G165" s="83"/>
      <c r="H165" s="84"/>
    </row>
    <row r="166" spans="1:8" x14ac:dyDescent="0.25">
      <c r="A166" s="47"/>
      <c r="B166" s="7" t="s">
        <v>139</v>
      </c>
      <c r="C166" s="2" t="s">
        <v>125</v>
      </c>
      <c r="D166" s="171">
        <f>D165*1.07</f>
        <v>7.7147000000000006</v>
      </c>
      <c r="E166" s="16"/>
      <c r="F166" s="16"/>
      <c r="G166" s="15">
        <v>0</v>
      </c>
      <c r="H166" s="32">
        <f>D166*G166</f>
        <v>0</v>
      </c>
    </row>
    <row r="167" spans="1:8" ht="30.75" thickBot="1" x14ac:dyDescent="0.3">
      <c r="A167" s="46"/>
      <c r="B167" s="42" t="s">
        <v>119</v>
      </c>
      <c r="C167" s="35" t="s">
        <v>19</v>
      </c>
      <c r="D167" s="36">
        <f>0.15*D165</f>
        <v>1.0814999999999999</v>
      </c>
      <c r="E167" s="37"/>
      <c r="F167" s="37"/>
      <c r="G167" s="38">
        <v>0</v>
      </c>
      <c r="H167" s="39">
        <f>D167*G167</f>
        <v>0</v>
      </c>
    </row>
    <row r="168" spans="1:8" x14ac:dyDescent="0.25">
      <c r="A168" s="45" t="s">
        <v>167</v>
      </c>
      <c r="B168" s="27" t="s">
        <v>140</v>
      </c>
      <c r="C168" s="28" t="s">
        <v>125</v>
      </c>
      <c r="D168" s="119">
        <f>(2.6-0.03)*2</f>
        <v>5.1400000000000006</v>
      </c>
      <c r="E168" s="30">
        <v>0</v>
      </c>
      <c r="F168" s="30">
        <f>D168*E168</f>
        <v>0</v>
      </c>
      <c r="G168" s="83"/>
      <c r="H168" s="84"/>
    </row>
    <row r="169" spans="1:8" x14ac:dyDescent="0.25">
      <c r="A169" s="47"/>
      <c r="B169" s="7" t="s">
        <v>141</v>
      </c>
      <c r="C169" s="2" t="s">
        <v>125</v>
      </c>
      <c r="D169" s="171">
        <f>D168*1.07</f>
        <v>5.4998000000000014</v>
      </c>
      <c r="E169" s="16"/>
      <c r="F169" s="16"/>
      <c r="G169" s="15">
        <v>0</v>
      </c>
      <c r="H169" s="32">
        <f>D169*G169</f>
        <v>0</v>
      </c>
    </row>
    <row r="170" spans="1:8" ht="30.75" thickBot="1" x14ac:dyDescent="0.3">
      <c r="A170" s="46"/>
      <c r="B170" s="42" t="s">
        <v>119</v>
      </c>
      <c r="C170" s="35" t="s">
        <v>19</v>
      </c>
      <c r="D170" s="36">
        <f>0.15*D168</f>
        <v>0.77100000000000002</v>
      </c>
      <c r="E170" s="37"/>
      <c r="F170" s="37"/>
      <c r="G170" s="38">
        <v>0</v>
      </c>
      <c r="H170" s="39">
        <f>D170*G170</f>
        <v>0</v>
      </c>
    </row>
    <row r="171" spans="1:8" ht="30" x14ac:dyDescent="0.25">
      <c r="A171" s="45" t="s">
        <v>188</v>
      </c>
      <c r="B171" s="98" t="s">
        <v>174</v>
      </c>
      <c r="C171" s="28" t="s">
        <v>16</v>
      </c>
      <c r="D171" s="29">
        <f>(0.9+2.2*2)*2+N("двери лифтов")+
(1+2.2*2)+N("дверь лифта")+
(1.44+2.05*2)+N("дверь на лестничную клетку")+
(1.45+2.05*2)*2+N("двери в коридоры")</f>
        <v>32.64</v>
      </c>
      <c r="E171" s="30">
        <v>0</v>
      </c>
      <c r="F171" s="30">
        <f>D171*E171</f>
        <v>0</v>
      </c>
      <c r="G171" s="53"/>
      <c r="H171" s="54"/>
    </row>
    <row r="172" spans="1:8" x14ac:dyDescent="0.25">
      <c r="A172" s="47"/>
      <c r="B172" s="7" t="s">
        <v>66</v>
      </c>
      <c r="C172" s="2" t="s">
        <v>19</v>
      </c>
      <c r="D172" s="9">
        <f>D171*25/280</f>
        <v>2.9142857142857141</v>
      </c>
      <c r="E172" s="16"/>
      <c r="F172" s="16"/>
      <c r="G172" s="15">
        <v>0</v>
      </c>
      <c r="H172" s="32">
        <f>D172*G172</f>
        <v>0</v>
      </c>
    </row>
    <row r="173" spans="1:8" ht="15.75" thickBot="1" x14ac:dyDescent="0.3">
      <c r="A173" s="50"/>
      <c r="B173" s="4" t="s">
        <v>67</v>
      </c>
      <c r="C173" s="3" t="s">
        <v>19</v>
      </c>
      <c r="D173" s="21">
        <f>D171*2*1.1/25</f>
        <v>2.8723200000000002</v>
      </c>
      <c r="E173" s="22"/>
      <c r="F173" s="22"/>
      <c r="G173" s="23">
        <v>0</v>
      </c>
      <c r="H173" s="51">
        <f>D173*G173</f>
        <v>0</v>
      </c>
    </row>
    <row r="174" spans="1:8" x14ac:dyDescent="0.25">
      <c r="A174" s="45" t="s">
        <v>189</v>
      </c>
      <c r="B174" s="58" t="s">
        <v>93</v>
      </c>
      <c r="C174" s="63" t="s">
        <v>19</v>
      </c>
      <c r="D174" s="119">
        <v>1</v>
      </c>
      <c r="E174" s="30">
        <v>0</v>
      </c>
      <c r="F174" s="30">
        <f>D174*E174</f>
        <v>0</v>
      </c>
      <c r="G174" s="53"/>
      <c r="H174" s="54"/>
    </row>
    <row r="175" spans="1:8" ht="30" x14ac:dyDescent="0.25">
      <c r="A175" s="102"/>
      <c r="B175" s="179" t="s">
        <v>133</v>
      </c>
      <c r="C175" s="2" t="s">
        <v>19</v>
      </c>
      <c r="D175" s="149">
        <v>1</v>
      </c>
      <c r="E175" s="16"/>
      <c r="F175" s="16"/>
      <c r="G175" s="15">
        <v>0</v>
      </c>
      <c r="H175" s="15">
        <f>D175*G175</f>
        <v>0</v>
      </c>
    </row>
    <row r="176" spans="1:8" ht="15.75" thickBot="1" x14ac:dyDescent="0.3">
      <c r="A176" s="88"/>
      <c r="B176" s="89" t="s">
        <v>182</v>
      </c>
      <c r="C176" s="90"/>
      <c r="D176" s="91"/>
      <c r="E176" s="92"/>
      <c r="F176" s="92"/>
      <c r="G176" s="92"/>
      <c r="H176" s="93"/>
    </row>
    <row r="177" spans="1:8" ht="30" x14ac:dyDescent="0.25">
      <c r="A177" s="45" t="s">
        <v>190</v>
      </c>
      <c r="B177" s="62" t="s">
        <v>178</v>
      </c>
      <c r="C177" s="28" t="s">
        <v>125</v>
      </c>
      <c r="D177" s="29">
        <f>2.72*3</f>
        <v>8.16</v>
      </c>
      <c r="E177" s="30">
        <v>0</v>
      </c>
      <c r="F177" s="30">
        <f>D177*E177</f>
        <v>0</v>
      </c>
      <c r="G177" s="83"/>
      <c r="H177" s="84"/>
    </row>
    <row r="178" spans="1:8" ht="30.75" thickBot="1" x14ac:dyDescent="0.3">
      <c r="A178" s="50"/>
      <c r="B178" s="61" t="s">
        <v>33</v>
      </c>
      <c r="C178" s="3" t="s">
        <v>125</v>
      </c>
      <c r="D178" s="203">
        <f>D177</f>
        <v>8.16</v>
      </c>
      <c r="E178" s="22"/>
      <c r="F178" s="22"/>
      <c r="G178" s="23">
        <v>0</v>
      </c>
      <c r="H178" s="51">
        <f>D178*G178</f>
        <v>0</v>
      </c>
    </row>
    <row r="179" spans="1:8" ht="33" customHeight="1" x14ac:dyDescent="0.25">
      <c r="A179" s="45" t="s">
        <v>191</v>
      </c>
      <c r="B179" s="62" t="s">
        <v>179</v>
      </c>
      <c r="C179" s="28" t="s">
        <v>125</v>
      </c>
      <c r="D179" s="29">
        <f>2.72*3</f>
        <v>8.16</v>
      </c>
      <c r="E179" s="30">
        <v>0</v>
      </c>
      <c r="F179" s="30">
        <f>D179*E179</f>
        <v>0</v>
      </c>
      <c r="G179" s="83"/>
      <c r="H179" s="84"/>
    </row>
    <row r="180" spans="1:8" x14ac:dyDescent="0.25">
      <c r="A180" s="47"/>
      <c r="B180" s="201" t="s">
        <v>180</v>
      </c>
      <c r="C180" s="202" t="s">
        <v>8</v>
      </c>
      <c r="D180" s="149">
        <f>0.02*D179</f>
        <v>0.16320000000000001</v>
      </c>
      <c r="E180" s="16"/>
      <c r="F180" s="16"/>
      <c r="G180" s="15">
        <v>0</v>
      </c>
      <c r="H180" s="32">
        <f>G180*D180</f>
        <v>0</v>
      </c>
    </row>
    <row r="181" spans="1:8" ht="15.75" thickBot="1" x14ac:dyDescent="0.3">
      <c r="A181" s="50"/>
      <c r="B181" s="212" t="s">
        <v>181</v>
      </c>
      <c r="C181" s="213" t="s">
        <v>15</v>
      </c>
      <c r="D181" s="203">
        <f>0.45*D179</f>
        <v>3.6720000000000002</v>
      </c>
      <c r="E181" s="22"/>
      <c r="F181" s="22"/>
      <c r="G181" s="23">
        <v>0</v>
      </c>
      <c r="H181" s="51">
        <f>G181*D181</f>
        <v>0</v>
      </c>
    </row>
    <row r="182" spans="1:8" ht="39" x14ac:dyDescent="0.25">
      <c r="A182" s="45" t="s">
        <v>192</v>
      </c>
      <c r="B182" s="216" t="s">
        <v>193</v>
      </c>
      <c r="C182" s="214" t="s">
        <v>7</v>
      </c>
      <c r="D182" s="29">
        <f>0.62*2.72</f>
        <v>1.6864000000000001</v>
      </c>
      <c r="E182" s="30">
        <v>0</v>
      </c>
      <c r="F182" s="30">
        <f>D182*E182</f>
        <v>0</v>
      </c>
      <c r="G182" s="83"/>
      <c r="H182" s="84"/>
    </row>
    <row r="183" spans="1:8" ht="30.75" thickBot="1" x14ac:dyDescent="0.3">
      <c r="A183" s="46"/>
      <c r="B183" s="42" t="s">
        <v>33</v>
      </c>
      <c r="C183" s="215" t="s">
        <v>7</v>
      </c>
      <c r="D183" s="200">
        <f>D182</f>
        <v>1.6864000000000001</v>
      </c>
      <c r="E183" s="37"/>
      <c r="F183" s="37"/>
      <c r="G183" s="38">
        <v>0</v>
      </c>
      <c r="H183" s="39">
        <f>D183*G183</f>
        <v>0</v>
      </c>
    </row>
    <row r="184" spans="1:8" ht="62.25" customHeight="1" x14ac:dyDescent="0.25">
      <c r="A184" s="64" t="s">
        <v>196</v>
      </c>
      <c r="B184" s="65" t="s">
        <v>194</v>
      </c>
      <c r="C184" s="5" t="s">
        <v>7</v>
      </c>
      <c r="D184" s="168">
        <f>(0.62+0.075+0.62)*2.72</f>
        <v>3.5768</v>
      </c>
      <c r="E184" s="30">
        <v>0</v>
      </c>
      <c r="F184" s="30">
        <f>D184*E184</f>
        <v>0</v>
      </c>
      <c r="G184" s="66"/>
      <c r="H184" s="67"/>
    </row>
    <row r="185" spans="1:8" x14ac:dyDescent="0.25">
      <c r="A185" s="47"/>
      <c r="B185" s="7" t="s">
        <v>6</v>
      </c>
      <c r="C185" s="2" t="s">
        <v>8</v>
      </c>
      <c r="D185" s="171">
        <f>0.2*D184</f>
        <v>0.71536</v>
      </c>
      <c r="E185" s="16"/>
      <c r="F185" s="16"/>
      <c r="G185" s="15">
        <v>0</v>
      </c>
      <c r="H185" s="32">
        <f>D185*G185</f>
        <v>0</v>
      </c>
    </row>
    <row r="186" spans="1:8" ht="30" x14ac:dyDescent="0.25">
      <c r="A186" s="47"/>
      <c r="B186" s="49" t="s">
        <v>38</v>
      </c>
      <c r="C186" s="2" t="s">
        <v>15</v>
      </c>
      <c r="D186" s="171">
        <f>3.75*D184</f>
        <v>13.413</v>
      </c>
      <c r="E186" s="16"/>
      <c r="F186" s="16"/>
      <c r="G186" s="15">
        <v>0</v>
      </c>
      <c r="H186" s="32">
        <f>D186*G186</f>
        <v>0</v>
      </c>
    </row>
    <row r="187" spans="1:8" ht="15.75" thickBot="1" x14ac:dyDescent="0.3">
      <c r="A187" s="46"/>
      <c r="B187" s="42" t="s">
        <v>39</v>
      </c>
      <c r="C187" s="35" t="s">
        <v>15</v>
      </c>
      <c r="D187" s="170">
        <f>1.8*D184</f>
        <v>6.4382400000000004</v>
      </c>
      <c r="E187" s="37"/>
      <c r="F187" s="37"/>
      <c r="G187" s="38">
        <v>0</v>
      </c>
      <c r="H187" s="39">
        <f>D187*G187</f>
        <v>0</v>
      </c>
    </row>
    <row r="188" spans="1:8" ht="15.75" thickBot="1" x14ac:dyDescent="0.3">
      <c r="A188" s="204"/>
      <c r="B188" s="205" t="s">
        <v>77</v>
      </c>
      <c r="C188" s="206"/>
      <c r="D188" s="207"/>
      <c r="E188" s="208"/>
      <c r="F188" s="208"/>
      <c r="G188" s="208"/>
      <c r="H188" s="209"/>
    </row>
    <row r="189" spans="1:8" x14ac:dyDescent="0.25">
      <c r="A189" s="150"/>
      <c r="B189" s="151"/>
      <c r="C189" s="121"/>
      <c r="D189" s="152"/>
      <c r="E189" s="122"/>
      <c r="F189" s="122"/>
      <c r="G189" s="123"/>
      <c r="H189" s="153"/>
    </row>
    <row r="190" spans="1:8" x14ac:dyDescent="0.25">
      <c r="A190" s="150"/>
      <c r="B190" s="151"/>
      <c r="C190" s="121"/>
      <c r="D190" s="152"/>
      <c r="E190" s="122"/>
      <c r="F190" s="122"/>
      <c r="G190" s="123"/>
      <c r="H190" s="153"/>
    </row>
    <row r="191" spans="1:8" x14ac:dyDescent="0.25">
      <c r="A191" s="150"/>
      <c r="B191" s="151"/>
      <c r="C191" s="121"/>
      <c r="D191" s="152"/>
      <c r="E191" s="122"/>
      <c r="F191" s="122"/>
      <c r="G191" s="123"/>
      <c r="H191" s="153"/>
    </row>
    <row r="192" spans="1:8" ht="15.75" thickBot="1" x14ac:dyDescent="0.3">
      <c r="A192" s="150"/>
      <c r="B192" s="151"/>
      <c r="C192" s="121"/>
      <c r="D192" s="152"/>
      <c r="E192" s="122"/>
      <c r="F192" s="122"/>
      <c r="G192" s="123"/>
      <c r="H192" s="153"/>
    </row>
    <row r="193" spans="1:8" ht="19.5" thickBot="1" x14ac:dyDescent="0.35">
      <c r="A193" s="99"/>
      <c r="B193" s="103" t="s">
        <v>94</v>
      </c>
      <c r="C193" s="97"/>
      <c r="D193" s="100"/>
      <c r="E193" s="104"/>
      <c r="F193" s="155">
        <f>SUM(F20:F192)</f>
        <v>0</v>
      </c>
      <c r="G193" s="155"/>
      <c r="H193" s="105">
        <f>SUM(H20:H192)</f>
        <v>0</v>
      </c>
    </row>
    <row r="194" spans="1:8" ht="21.75" thickBot="1" x14ac:dyDescent="0.4">
      <c r="A194" s="99"/>
      <c r="B194" s="154" t="s">
        <v>76</v>
      </c>
      <c r="C194" s="219">
        <f>F193+H193</f>
        <v>0</v>
      </c>
      <c r="D194" s="220"/>
      <c r="E194" s="220"/>
      <c r="F194" s="220"/>
      <c r="G194" s="220"/>
      <c r="H194" s="221"/>
    </row>
  </sheetData>
  <mergeCells count="9">
    <mergeCell ref="C194:H194"/>
    <mergeCell ref="E1:H1"/>
    <mergeCell ref="F4:H4"/>
    <mergeCell ref="F6:H6"/>
    <mergeCell ref="A10:H10"/>
    <mergeCell ref="A11:H11"/>
    <mergeCell ref="A13:H13"/>
    <mergeCell ref="B15:H15"/>
    <mergeCell ref="B16:H16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2026</vt:lpstr>
      <vt:lpstr>'вариант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Елена</dc:creator>
  <cp:lastModifiedBy>Петрова Елена</cp:lastModifiedBy>
  <cp:lastPrinted>2026-09-17T08:19:19Z</cp:lastPrinted>
  <dcterms:created xsi:type="dcterms:W3CDTF">2024-12-05T06:12:42Z</dcterms:created>
  <dcterms:modified xsi:type="dcterms:W3CDTF">2026-09-18T09:32:36Z</dcterms:modified>
</cp:coreProperties>
</file>